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7"/>
  <fileSharing readOnlyRecommended="1" userName="Jill Seeman" algorithmName="SHA-512" hashValue="ABAdwbJMYo2JvY2lq/CvKl4prYBEGBPXp9bNSS9AUi94aIJvpjF6V6N5+7BwWah2Dtv+dP5XdfGhN6XqGZ/mBQ==" saltValue="auK3CZUE6taQZqxrruvoxQ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B31179B3-9D0A-9A4D-B87A-77BC79D4A6BF}" xr6:coauthVersionLast="47" xr6:coauthVersionMax="47" xr10:uidLastSave="{00000000-0000-0000-0000-000000000000}"/>
  <bookViews>
    <workbookView xWindow="340" yWindow="2400" windowWidth="38400" windowHeight="222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Kinchina" sheetId="27" r:id="rId10"/>
    <sheet name="RD7 O'Hallaron" sheetId="28" r:id="rId11"/>
    <sheet name="RD8 Fox Creek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_xlnm._FilterDatabase" localSheetId="2" hidden="1">Participants!$C$3:$C$9</definedName>
    <definedName name="Overall_Men">'League Table'!$A$18:$R$212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4" i="15" l="1" a="1"/>
  <c r="CA24" i="15" s="1"/>
  <c r="CA25" i="15" a="1"/>
  <c r="CA25" i="15" s="1"/>
  <c r="CA26" i="15" a="1"/>
  <c r="CA26" i="15" s="1"/>
  <c r="CA27" i="15" a="1"/>
  <c r="CA27" i="15" s="1"/>
  <c r="CA28" i="15" a="1"/>
  <c r="CA28" i="15" s="1"/>
  <c r="CA23" i="15" a="1"/>
  <c r="CA23" i="15" s="1"/>
  <c r="CA22" i="15" a="1"/>
  <c r="CA22" i="15" s="1"/>
  <c r="CA21" i="15" a="1"/>
  <c r="CA21" i="15" s="1"/>
  <c r="CA20" i="15" a="1"/>
  <c r="CA20" i="15" s="1"/>
  <c r="CA19" i="15" a="1"/>
  <c r="CA19" i="15" s="1"/>
  <c r="CA18" i="15" a="1"/>
  <c r="CA18" i="15" s="1"/>
  <c r="I53" i="26"/>
  <c r="I54" i="26"/>
  <c r="I55" i="26"/>
  <c r="I56" i="26"/>
  <c r="I57" i="26"/>
  <c r="I58" i="26"/>
  <c r="I59" i="26"/>
  <c r="M3" i="3"/>
  <c r="M4" i="3"/>
  <c r="M5" i="3"/>
  <c r="M6" i="3"/>
  <c r="M7" i="3"/>
  <c r="M2" i="3"/>
  <c r="M8" i="3"/>
  <c r="M9" i="3"/>
  <c r="B48" i="15"/>
  <c r="B83" i="15"/>
  <c r="B104" i="15"/>
  <c r="B105" i="15"/>
  <c r="C48" i="15"/>
  <c r="C83" i="15"/>
  <c r="C104" i="15"/>
  <c r="C105" i="15"/>
  <c r="D48" i="15"/>
  <c r="L48" i="15" s="1"/>
  <c r="D83" i="15"/>
  <c r="D104" i="15"/>
  <c r="D105" i="15"/>
  <c r="E48" i="15"/>
  <c r="E83" i="15"/>
  <c r="E104" i="15"/>
  <c r="E105" i="15"/>
  <c r="F48" i="15"/>
  <c r="F83" i="15"/>
  <c r="F104" i="15"/>
  <c r="F105" i="15"/>
  <c r="G48" i="15"/>
  <c r="G83" i="15"/>
  <c r="G104" i="15"/>
  <c r="G105" i="15"/>
  <c r="H48" i="15"/>
  <c r="H83" i="15"/>
  <c r="H104" i="15"/>
  <c r="H105" i="15"/>
  <c r="I48" i="15"/>
  <c r="I83" i="15"/>
  <c r="I104" i="15"/>
  <c r="I105" i="15"/>
  <c r="J48" i="15"/>
  <c r="J83" i="15"/>
  <c r="J104" i="15"/>
  <c r="J105" i="15"/>
  <c r="M10" i="3"/>
  <c r="M11" i="3"/>
  <c r="I68" i="30"/>
  <c r="I69" i="30"/>
  <c r="I70" i="30"/>
  <c r="I71" i="30"/>
  <c r="I72" i="30"/>
  <c r="I73" i="30"/>
  <c r="I60" i="30"/>
  <c r="I61" i="30"/>
  <c r="I62" i="30"/>
  <c r="I63" i="30"/>
  <c r="I64" i="30"/>
  <c r="I65" i="30"/>
  <c r="I66" i="30"/>
  <c r="I67" i="30"/>
  <c r="I56" i="30"/>
  <c r="E71" i="15" s="1"/>
  <c r="I57" i="30"/>
  <c r="I58" i="30"/>
  <c r="E27" i="15" s="1"/>
  <c r="I59" i="30"/>
  <c r="E100" i="15" s="1"/>
  <c r="I44" i="26"/>
  <c r="I49" i="26"/>
  <c r="I50" i="26"/>
  <c r="F62" i="15" s="1"/>
  <c r="I51" i="26"/>
  <c r="Z22" i="15" s="1"/>
  <c r="I52" i="26"/>
  <c r="I46" i="26"/>
  <c r="I47" i="26"/>
  <c r="I48" i="26"/>
  <c r="I38" i="26"/>
  <c r="I39" i="26"/>
  <c r="F28" i="15" s="1"/>
  <c r="I40" i="26"/>
  <c r="I41" i="26"/>
  <c r="F94" i="15" s="1"/>
  <c r="I42" i="26"/>
  <c r="I43" i="26"/>
  <c r="F35" i="15" s="1"/>
  <c r="I45" i="26"/>
  <c r="M12" i="3"/>
  <c r="M13" i="3"/>
  <c r="M14" i="3"/>
  <c r="M15" i="3"/>
  <c r="Z18" i="15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I55" i="30"/>
  <c r="I54" i="30"/>
  <c r="I53" i="30"/>
  <c r="AS30" i="15" s="1"/>
  <c r="I52" i="30"/>
  <c r="I51" i="30"/>
  <c r="I50" i="30"/>
  <c r="I49" i="30"/>
  <c r="I48" i="30"/>
  <c r="AS19" i="15" s="1"/>
  <c r="I47" i="30"/>
  <c r="I46" i="30"/>
  <c r="Y42" i="15" s="1"/>
  <c r="I45" i="30"/>
  <c r="I44" i="30"/>
  <c r="Y44" i="15" s="1"/>
  <c r="I43" i="30"/>
  <c r="I42" i="30"/>
  <c r="I41" i="30"/>
  <c r="I40" i="30"/>
  <c r="I39" i="30"/>
  <c r="I38" i="30"/>
  <c r="E35" i="15" s="1"/>
  <c r="I37" i="30"/>
  <c r="I36" i="30"/>
  <c r="I35" i="30"/>
  <c r="I34" i="30"/>
  <c r="I33" i="30"/>
  <c r="I32" i="30"/>
  <c r="I31" i="30"/>
  <c r="I30" i="30"/>
  <c r="E24" i="15" s="1"/>
  <c r="I29" i="30"/>
  <c r="I28" i="30"/>
  <c r="I27" i="30"/>
  <c r="E32" i="15" s="1"/>
  <c r="I26" i="30"/>
  <c r="E38" i="15" s="1"/>
  <c r="I25" i="30"/>
  <c r="I24" i="30"/>
  <c r="E52" i="15" s="1"/>
  <c r="I23" i="30"/>
  <c r="I22" i="30"/>
  <c r="I21" i="30"/>
  <c r="I20" i="30"/>
  <c r="I19" i="30"/>
  <c r="I18" i="30"/>
  <c r="I17" i="30"/>
  <c r="I16" i="30"/>
  <c r="I15" i="30"/>
  <c r="I14" i="30"/>
  <c r="I13" i="30"/>
  <c r="I12" i="30"/>
  <c r="E39" i="15" s="1"/>
  <c r="I11" i="30"/>
  <c r="I10" i="30"/>
  <c r="I9" i="30"/>
  <c r="E66" i="15" s="1"/>
  <c r="I8" i="30"/>
  <c r="E77" i="15" s="1"/>
  <c r="I7" i="30"/>
  <c r="I6" i="30"/>
  <c r="E47" i="15" s="1"/>
  <c r="I5" i="30"/>
  <c r="I4" i="30"/>
  <c r="E51" i="15" s="1"/>
  <c r="I3" i="30"/>
  <c r="I2" i="30"/>
  <c r="E68" i="15" s="1"/>
  <c r="I14" i="24"/>
  <c r="I71" i="16"/>
  <c r="I72" i="16"/>
  <c r="I66" i="16"/>
  <c r="I64" i="16"/>
  <c r="I65" i="16"/>
  <c r="I59" i="16"/>
  <c r="I53" i="16"/>
  <c r="I54" i="16"/>
  <c r="I55" i="16"/>
  <c r="I56" i="16"/>
  <c r="I57" i="16"/>
  <c r="I58" i="16"/>
  <c r="I46" i="16"/>
  <c r="I47" i="16"/>
  <c r="I48" i="16"/>
  <c r="I39" i="16"/>
  <c r="I31" i="16"/>
  <c r="I32" i="16"/>
  <c r="I33" i="16"/>
  <c r="I34" i="16"/>
  <c r="I35" i="16"/>
  <c r="I39" i="14"/>
  <c r="I40" i="14"/>
  <c r="I36" i="14"/>
  <c r="I29" i="14"/>
  <c r="I30" i="14"/>
  <c r="I31" i="14"/>
  <c r="I57" i="29"/>
  <c r="I58" i="29"/>
  <c r="I59" i="29"/>
  <c r="I60" i="29"/>
  <c r="I65" i="29"/>
  <c r="I66" i="29"/>
  <c r="I67" i="29"/>
  <c r="I61" i="29"/>
  <c r="I62" i="29"/>
  <c r="I63" i="29"/>
  <c r="I64" i="29"/>
  <c r="I50" i="29"/>
  <c r="AC26" i="15" s="1"/>
  <c r="I51" i="29"/>
  <c r="I52" i="29"/>
  <c r="I53" i="29"/>
  <c r="AC35" i="15" s="1"/>
  <c r="I54" i="29"/>
  <c r="I55" i="29"/>
  <c r="I56" i="29"/>
  <c r="AW27" i="15"/>
  <c r="AW25" i="15"/>
  <c r="I39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G109" i="15"/>
  <c r="G132" i="15"/>
  <c r="G49" i="15"/>
  <c r="G144" i="15"/>
  <c r="G63" i="15"/>
  <c r="G121" i="15"/>
  <c r="G164" i="15"/>
  <c r="G44" i="15"/>
  <c r="G38" i="15"/>
  <c r="G127" i="15"/>
  <c r="G150" i="15"/>
  <c r="G86" i="15"/>
  <c r="G160" i="15"/>
  <c r="G159" i="15"/>
  <c r="G43" i="15"/>
  <c r="G29" i="15"/>
  <c r="G153" i="15"/>
  <c r="G89" i="15"/>
  <c r="G52" i="15"/>
  <c r="G45" i="15"/>
  <c r="G115" i="15"/>
  <c r="G94" i="15"/>
  <c r="G123" i="15"/>
  <c r="G25" i="15"/>
  <c r="G21" i="15"/>
  <c r="G71" i="15"/>
  <c r="G70" i="15"/>
  <c r="G60" i="15"/>
  <c r="G128" i="15"/>
  <c r="G135" i="15"/>
  <c r="G151" i="15"/>
  <c r="G42" i="15"/>
  <c r="G162" i="15"/>
  <c r="G92" i="15"/>
  <c r="G133" i="15"/>
  <c r="G56" i="15"/>
  <c r="G59" i="15"/>
  <c r="G137" i="15"/>
  <c r="G97" i="15"/>
  <c r="G102" i="15"/>
  <c r="G156" i="15"/>
  <c r="G90" i="15"/>
  <c r="G98" i="15"/>
  <c r="G27" i="15"/>
  <c r="G66" i="15"/>
  <c r="G78" i="15"/>
  <c r="G22" i="15"/>
  <c r="G79" i="15"/>
  <c r="G20" i="15"/>
  <c r="G64" i="15"/>
  <c r="G72" i="15"/>
  <c r="G103" i="15"/>
  <c r="G95" i="15"/>
  <c r="G19" i="15"/>
  <c r="G146" i="15"/>
  <c r="G69" i="15"/>
  <c r="G141" i="15"/>
  <c r="G46" i="15"/>
  <c r="G62" i="15"/>
  <c r="G138" i="15"/>
  <c r="G33" i="15"/>
  <c r="G125" i="15"/>
  <c r="G55" i="15"/>
  <c r="G108" i="15"/>
  <c r="G32" i="15"/>
  <c r="G122" i="15"/>
  <c r="G54" i="15"/>
  <c r="G134" i="15"/>
  <c r="G30" i="15"/>
  <c r="G148" i="15"/>
  <c r="G31" i="15"/>
  <c r="G136" i="15"/>
  <c r="G34" i="15"/>
  <c r="G53" i="15"/>
  <c r="G91" i="15"/>
  <c r="G147" i="15"/>
  <c r="G28" i="15"/>
  <c r="G131" i="15"/>
  <c r="G119" i="15"/>
  <c r="G87" i="15"/>
  <c r="G111" i="15"/>
  <c r="G47" i="15"/>
  <c r="G118" i="15"/>
  <c r="G74" i="15"/>
  <c r="G157" i="15"/>
  <c r="G110" i="15"/>
  <c r="G93" i="15"/>
  <c r="G142" i="15"/>
  <c r="G36" i="15"/>
  <c r="G124" i="15"/>
  <c r="G40" i="15"/>
  <c r="G120" i="15"/>
  <c r="G140" i="15"/>
  <c r="G106" i="15"/>
  <c r="G76" i="15"/>
  <c r="G58" i="15"/>
  <c r="G143" i="15"/>
  <c r="G65" i="15"/>
  <c r="G129" i="15"/>
  <c r="G149" i="15"/>
  <c r="G26" i="15"/>
  <c r="G73" i="15"/>
  <c r="G152" i="15"/>
  <c r="G18" i="15"/>
  <c r="G67" i="15"/>
  <c r="G130" i="15"/>
  <c r="G88" i="15"/>
  <c r="G163" i="15"/>
  <c r="G24" i="15"/>
  <c r="G126" i="15"/>
  <c r="G81" i="15"/>
  <c r="G35" i="15"/>
  <c r="G145" i="15"/>
  <c r="G61" i="15"/>
  <c r="G158" i="15"/>
  <c r="G139" i="15"/>
  <c r="G39" i="15"/>
  <c r="G50" i="15"/>
  <c r="G68" i="15"/>
  <c r="G114" i="15"/>
  <c r="G41" i="15"/>
  <c r="G154" i="15"/>
  <c r="G116" i="15"/>
  <c r="G77" i="15"/>
  <c r="G57" i="15"/>
  <c r="G84" i="15"/>
  <c r="G155" i="15"/>
  <c r="G96" i="15"/>
  <c r="G75" i="15"/>
  <c r="G100" i="15"/>
  <c r="G107" i="15"/>
  <c r="G23" i="15"/>
  <c r="G37" i="15"/>
  <c r="G117" i="15"/>
  <c r="G101" i="15"/>
  <c r="G82" i="15"/>
  <c r="G51" i="15"/>
  <c r="G112" i="15"/>
  <c r="G161" i="15"/>
  <c r="G80" i="15"/>
  <c r="G99" i="15"/>
  <c r="G85" i="15"/>
  <c r="G113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AS47" i="15"/>
  <c r="AS21" i="15"/>
  <c r="AS37" i="15"/>
  <c r="AS34" i="15"/>
  <c r="AS26" i="15"/>
  <c r="AS29" i="15"/>
  <c r="AS24" i="15"/>
  <c r="AS55" i="15"/>
  <c r="AS40" i="15"/>
  <c r="AS41" i="15"/>
  <c r="AS18" i="15"/>
  <c r="AS33" i="15"/>
  <c r="AS25" i="15"/>
  <c r="AS23" i="15"/>
  <c r="AS45" i="15"/>
  <c r="AS35" i="15"/>
  <c r="AS52" i="15"/>
  <c r="AS20" i="15"/>
  <c r="AS28" i="15"/>
  <c r="AS44" i="15"/>
  <c r="AS53" i="15"/>
  <c r="AS27" i="15"/>
  <c r="AS54" i="15"/>
  <c r="AS48" i="15"/>
  <c r="AS38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I35" i="26"/>
  <c r="BN18" i="15" s="1"/>
  <c r="I36" i="26"/>
  <c r="BN24" i="15" s="1"/>
  <c r="I37" i="26"/>
  <c r="AT45" i="15" s="1"/>
  <c r="AT23" i="15"/>
  <c r="AT55" i="15"/>
  <c r="AT26" i="15"/>
  <c r="AT28" i="15"/>
  <c r="AT44" i="15"/>
  <c r="AT33" i="15"/>
  <c r="AT30" i="15"/>
  <c r="AT51" i="15"/>
  <c r="AT42" i="15"/>
  <c r="AT38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8" i="15"/>
  <c r="BR24" i="15"/>
  <c r="BR20" i="15"/>
  <c r="BR25" i="15"/>
  <c r="BR19" i="15"/>
  <c r="BR22" i="15"/>
  <c r="BR21" i="15"/>
  <c r="BR23" i="15"/>
  <c r="BR26" i="15"/>
  <c r="BR27" i="15"/>
  <c r="BR28" i="15"/>
  <c r="AX40" i="15"/>
  <c r="AX25" i="15"/>
  <c r="AX50" i="15"/>
  <c r="AX18" i="15"/>
  <c r="AX22" i="15"/>
  <c r="AX36" i="15"/>
  <c r="AX26" i="15"/>
  <c r="AX32" i="15"/>
  <c r="AX45" i="15"/>
  <c r="AX34" i="15"/>
  <c r="AX53" i="15"/>
  <c r="AX23" i="15"/>
  <c r="AX29" i="15"/>
  <c r="AX44" i="15"/>
  <c r="AX31" i="15"/>
  <c r="AX55" i="15"/>
  <c r="AX48" i="15"/>
  <c r="AX28" i="15"/>
  <c r="AX52" i="15"/>
  <c r="AX54" i="15"/>
  <c r="AX42" i="15"/>
  <c r="AX37" i="15"/>
  <c r="AX47" i="15"/>
  <c r="AX33" i="15"/>
  <c r="AX21" i="15"/>
  <c r="AX30" i="15"/>
  <c r="AX35" i="15"/>
  <c r="AX46" i="15"/>
  <c r="AX20" i="15"/>
  <c r="AX39" i="15"/>
  <c r="AX43" i="15"/>
  <c r="AX51" i="15"/>
  <c r="AX49" i="15"/>
  <c r="AX41" i="15"/>
  <c r="AX27" i="15"/>
  <c r="AX19" i="15"/>
  <c r="AX24" i="15"/>
  <c r="AX38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42" i="15"/>
  <c r="AD26" i="15"/>
  <c r="AD49" i="15"/>
  <c r="AD30" i="15"/>
  <c r="AD21" i="15"/>
  <c r="AD35" i="15"/>
  <c r="AD47" i="15"/>
  <c r="AD38" i="15"/>
  <c r="AD19" i="15"/>
  <c r="AD25" i="15"/>
  <c r="AD45" i="15"/>
  <c r="AD36" i="15"/>
  <c r="AD41" i="15"/>
  <c r="AD46" i="15"/>
  <c r="AD34" i="15"/>
  <c r="AD27" i="15"/>
  <c r="AD20" i="15"/>
  <c r="AD39" i="15"/>
  <c r="AD43" i="15"/>
  <c r="AD24" i="15"/>
  <c r="AD48" i="15"/>
  <c r="AD32" i="15"/>
  <c r="AD33" i="15"/>
  <c r="AD23" i="15"/>
  <c r="AD18" i="15"/>
  <c r="AD37" i="15"/>
  <c r="AD28" i="15"/>
  <c r="AD29" i="15"/>
  <c r="AD22" i="15"/>
  <c r="AD44" i="15"/>
  <c r="AD40" i="15"/>
  <c r="AD31" i="15"/>
  <c r="AD50" i="15"/>
  <c r="AD51" i="15"/>
  <c r="AD52" i="15"/>
  <c r="J32" i="15"/>
  <c r="J97" i="15"/>
  <c r="J132" i="15"/>
  <c r="J43" i="15"/>
  <c r="J122" i="15"/>
  <c r="J130" i="15"/>
  <c r="J20" i="15"/>
  <c r="J76" i="15"/>
  <c r="J156" i="15"/>
  <c r="J33" i="15"/>
  <c r="J125" i="15"/>
  <c r="J110" i="15"/>
  <c r="J67" i="15"/>
  <c r="J58" i="15"/>
  <c r="J72" i="15"/>
  <c r="J159" i="15"/>
  <c r="J109" i="15"/>
  <c r="J49" i="15"/>
  <c r="J64" i="15"/>
  <c r="J29" i="15"/>
  <c r="J86" i="15"/>
  <c r="J138" i="15"/>
  <c r="J152" i="15"/>
  <c r="J73" i="15"/>
  <c r="J59" i="15"/>
  <c r="J129" i="15"/>
  <c r="J87" i="15"/>
  <c r="J25" i="15"/>
  <c r="J160" i="15"/>
  <c r="J45" i="15"/>
  <c r="J91" i="15"/>
  <c r="J71" i="15"/>
  <c r="J94" i="15"/>
  <c r="J92" i="15"/>
  <c r="J21" i="15"/>
  <c r="J70" i="15"/>
  <c r="J66" i="15"/>
  <c r="J40" i="15"/>
  <c r="J119" i="15"/>
  <c r="J54" i="15"/>
  <c r="J79" i="15"/>
  <c r="J149" i="15"/>
  <c r="J102" i="15"/>
  <c r="J121" i="15"/>
  <c r="J111" i="15"/>
  <c r="J19" i="15"/>
  <c r="J120" i="15"/>
  <c r="J74" i="15"/>
  <c r="J34" i="15"/>
  <c r="J90" i="15"/>
  <c r="J151" i="15"/>
  <c r="J53" i="15"/>
  <c r="J38" i="15"/>
  <c r="J103" i="15"/>
  <c r="J27" i="15"/>
  <c r="J46" i="15"/>
  <c r="J78" i="15"/>
  <c r="J22" i="15"/>
  <c r="J36" i="15"/>
  <c r="J147" i="15"/>
  <c r="J143" i="15"/>
  <c r="J89" i="15"/>
  <c r="J162" i="15"/>
  <c r="J98" i="15"/>
  <c r="J65" i="15"/>
  <c r="J124" i="15"/>
  <c r="J60" i="15"/>
  <c r="J93" i="15"/>
  <c r="J44" i="15"/>
  <c r="J157" i="15"/>
  <c r="J135" i="15"/>
  <c r="J133" i="15"/>
  <c r="J30" i="15"/>
  <c r="J146" i="15"/>
  <c r="J150" i="15"/>
  <c r="J52" i="15"/>
  <c r="J128" i="15"/>
  <c r="J55" i="15"/>
  <c r="J31" i="15"/>
  <c r="J141" i="15"/>
  <c r="J42" i="15"/>
  <c r="J115" i="15"/>
  <c r="J144" i="15"/>
  <c r="J47" i="15"/>
  <c r="J63" i="15"/>
  <c r="J131" i="15"/>
  <c r="J127" i="15"/>
  <c r="J108" i="15"/>
  <c r="J28" i="15"/>
  <c r="J26" i="15"/>
  <c r="J134" i="15"/>
  <c r="J142" i="15"/>
  <c r="J56" i="15"/>
  <c r="J123" i="15"/>
  <c r="J95" i="15"/>
  <c r="J137" i="15"/>
  <c r="J164" i="15"/>
  <c r="J62" i="15"/>
  <c r="J153" i="15"/>
  <c r="J106" i="15"/>
  <c r="J136" i="15"/>
  <c r="J140" i="15"/>
  <c r="J18" i="15"/>
  <c r="J148" i="15"/>
  <c r="J118" i="15"/>
  <c r="J69" i="15"/>
  <c r="J88" i="15"/>
  <c r="J163" i="15"/>
  <c r="J24" i="15"/>
  <c r="J126" i="15"/>
  <c r="J81" i="15"/>
  <c r="J35" i="15"/>
  <c r="J145" i="15"/>
  <c r="J61" i="15"/>
  <c r="J158" i="15"/>
  <c r="J139" i="15"/>
  <c r="J39" i="15"/>
  <c r="J50" i="15"/>
  <c r="J68" i="15"/>
  <c r="J114" i="15"/>
  <c r="J41" i="15"/>
  <c r="J154" i="15"/>
  <c r="J116" i="15"/>
  <c r="J77" i="15"/>
  <c r="J57" i="15"/>
  <c r="J84" i="15"/>
  <c r="J155" i="15"/>
  <c r="J96" i="15"/>
  <c r="J75" i="15"/>
  <c r="J100" i="15"/>
  <c r="J107" i="15"/>
  <c r="J23" i="15"/>
  <c r="J37" i="15"/>
  <c r="J117" i="15"/>
  <c r="J101" i="15"/>
  <c r="J82" i="15"/>
  <c r="J51" i="15"/>
  <c r="J112" i="15"/>
  <c r="J161" i="15"/>
  <c r="J80" i="15"/>
  <c r="J99" i="15"/>
  <c r="J85" i="15"/>
  <c r="J113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BM24" i="15"/>
  <c r="BM25" i="15"/>
  <c r="BM19" i="15"/>
  <c r="BM22" i="15"/>
  <c r="BM21" i="15"/>
  <c r="BM23" i="15"/>
  <c r="BM26" i="15"/>
  <c r="BM27" i="15"/>
  <c r="BM28" i="15"/>
  <c r="Y26" i="15"/>
  <c r="Y49" i="15"/>
  <c r="Y21" i="15"/>
  <c r="Y47" i="15"/>
  <c r="Y38" i="15"/>
  <c r="Y25" i="15"/>
  <c r="Y45" i="15"/>
  <c r="Y36" i="15"/>
  <c r="Y41" i="15"/>
  <c r="Y46" i="15"/>
  <c r="Y34" i="15"/>
  <c r="Y27" i="15"/>
  <c r="Y20" i="15"/>
  <c r="Y39" i="15"/>
  <c r="Y43" i="15"/>
  <c r="Y48" i="15"/>
  <c r="Y33" i="15"/>
  <c r="Y18" i="15"/>
  <c r="Y29" i="15"/>
  <c r="Y22" i="15"/>
  <c r="Y40" i="15"/>
  <c r="Y31" i="15"/>
  <c r="Y50" i="15"/>
  <c r="Y51" i="15"/>
  <c r="Y52" i="15"/>
  <c r="E55" i="15"/>
  <c r="E102" i="15"/>
  <c r="E97" i="15"/>
  <c r="E20" i="15"/>
  <c r="E65" i="15"/>
  <c r="E90" i="15"/>
  <c r="E54" i="15"/>
  <c r="E46" i="15"/>
  <c r="E146" i="15"/>
  <c r="E143" i="15"/>
  <c r="E56" i="15"/>
  <c r="E94" i="15"/>
  <c r="E91" i="15"/>
  <c r="E159" i="15"/>
  <c r="E58" i="15"/>
  <c r="E73" i="15"/>
  <c r="E78" i="15"/>
  <c r="E141" i="15"/>
  <c r="E93" i="15"/>
  <c r="E40" i="15"/>
  <c r="E138" i="15"/>
  <c r="E22" i="15"/>
  <c r="E103" i="15"/>
  <c r="E70" i="15"/>
  <c r="E64" i="15"/>
  <c r="E127" i="15"/>
  <c r="E72" i="15"/>
  <c r="E45" i="15"/>
  <c r="E33" i="15"/>
  <c r="E120" i="15"/>
  <c r="E63" i="15"/>
  <c r="E108" i="15"/>
  <c r="E34" i="15"/>
  <c r="E21" i="15"/>
  <c r="E142" i="15"/>
  <c r="E111" i="15"/>
  <c r="E74" i="15"/>
  <c r="E26" i="15"/>
  <c r="E19" i="15"/>
  <c r="E30" i="15"/>
  <c r="E119" i="15"/>
  <c r="E123" i="15"/>
  <c r="E149" i="15"/>
  <c r="E53" i="15"/>
  <c r="E157" i="15"/>
  <c r="E137" i="15"/>
  <c r="E106" i="15"/>
  <c r="E136" i="15"/>
  <c r="E140" i="15"/>
  <c r="E18" i="15"/>
  <c r="E69" i="15"/>
  <c r="E88" i="15"/>
  <c r="E163" i="15"/>
  <c r="E126" i="15"/>
  <c r="E81" i="15"/>
  <c r="E145" i="15"/>
  <c r="E61" i="15"/>
  <c r="E158" i="15"/>
  <c r="E139" i="15"/>
  <c r="E50" i="15"/>
  <c r="E114" i="15"/>
  <c r="E41" i="15"/>
  <c r="E154" i="15"/>
  <c r="E116" i="15"/>
  <c r="E57" i="15"/>
  <c r="E84" i="15"/>
  <c r="E155" i="15"/>
  <c r="E96" i="15"/>
  <c r="E75" i="15"/>
  <c r="E107" i="15"/>
  <c r="E23" i="15"/>
  <c r="E117" i="15"/>
  <c r="E101" i="15"/>
  <c r="E82" i="15"/>
  <c r="E112" i="15"/>
  <c r="E161" i="15"/>
  <c r="E80" i="15"/>
  <c r="E99" i="15"/>
  <c r="E85" i="15"/>
  <c r="E113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BM20" i="15"/>
  <c r="BM18" i="15"/>
  <c r="Y37" i="15"/>
  <c r="Y30" i="15"/>
  <c r="Y35" i="15"/>
  <c r="AS50" i="15"/>
  <c r="AS39" i="15"/>
  <c r="AS49" i="15"/>
  <c r="AS43" i="15"/>
  <c r="AS32" i="15"/>
  <c r="AS42" i="15"/>
  <c r="AS36" i="15"/>
  <c r="AS22" i="15"/>
  <c r="AS31" i="15"/>
  <c r="AS46" i="15"/>
  <c r="AS51" i="15"/>
  <c r="E42" i="15"/>
  <c r="E115" i="15"/>
  <c r="E67" i="15"/>
  <c r="E133" i="15"/>
  <c r="E130" i="15"/>
  <c r="E125" i="15"/>
  <c r="E128" i="15"/>
  <c r="E87" i="15"/>
  <c r="E153" i="15"/>
  <c r="E124" i="15"/>
  <c r="E76" i="15"/>
  <c r="E129" i="15"/>
  <c r="E152" i="15"/>
  <c r="Y32" i="15"/>
  <c r="Y28" i="15"/>
  <c r="Y23" i="15"/>
  <c r="Y24" i="15"/>
  <c r="Y19" i="15"/>
  <c r="I48" i="24"/>
  <c r="I38" i="24"/>
  <c r="I39" i="24"/>
  <c r="I40" i="24"/>
  <c r="I41" i="24"/>
  <c r="I42" i="24"/>
  <c r="I43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BK24" i="15"/>
  <c r="I73" i="16"/>
  <c r="I74" i="16"/>
  <c r="I75" i="16"/>
  <c r="I62" i="14"/>
  <c r="BJ18" i="15" s="1"/>
  <c r="I61" i="14"/>
  <c r="I43" i="14"/>
  <c r="V35" i="15" s="1"/>
  <c r="I44" i="14"/>
  <c r="I45" i="14"/>
  <c r="AP62" i="15"/>
  <c r="AQ62" i="15"/>
  <c r="AU62" i="15"/>
  <c r="AV62" i="15"/>
  <c r="E86" i="15"/>
  <c r="E110" i="15"/>
  <c r="E89" i="15"/>
  <c r="E95" i="15"/>
  <c r="E36" i="15"/>
  <c r="E118" i="15"/>
  <c r="E131" i="15"/>
  <c r="E147" i="15"/>
  <c r="E31" i="15"/>
  <c r="E134" i="15"/>
  <c r="E29" i="15"/>
  <c r="E164" i="15"/>
  <c r="E44" i="15"/>
  <c r="E60" i="15"/>
  <c r="E92" i="15"/>
  <c r="E121" i="15"/>
  <c r="E156" i="15"/>
  <c r="E160" i="15"/>
  <c r="E148" i="15"/>
  <c r="E122" i="15"/>
  <c r="E62" i="15"/>
  <c r="E150" i="15"/>
  <c r="E25" i="15"/>
  <c r="E132" i="15"/>
  <c r="E162" i="15"/>
  <c r="E59" i="15"/>
  <c r="E43" i="15"/>
  <c r="E135" i="15"/>
  <c r="E144" i="15"/>
  <c r="E49" i="15"/>
  <c r="E151" i="15"/>
  <c r="E109" i="15"/>
  <c r="E79" i="15"/>
  <c r="E98" i="15"/>
  <c r="BQ25" i="15"/>
  <c r="BQ19" i="15"/>
  <c r="BQ24" i="15"/>
  <c r="BQ18" i="15"/>
  <c r="BQ22" i="15"/>
  <c r="BQ21" i="15"/>
  <c r="BQ23" i="15"/>
  <c r="BQ26" i="15"/>
  <c r="BQ27" i="15"/>
  <c r="BQ28" i="15"/>
  <c r="AW37" i="15"/>
  <c r="AW36" i="15"/>
  <c r="AW33" i="15"/>
  <c r="AW35" i="15"/>
  <c r="AW32" i="15"/>
  <c r="AW45" i="15"/>
  <c r="AW20" i="15"/>
  <c r="AW50" i="15"/>
  <c r="AW40" i="15"/>
  <c r="AW23" i="15"/>
  <c r="AW44" i="15"/>
  <c r="AW42" i="15"/>
  <c r="AW55" i="15"/>
  <c r="AW56" i="15"/>
  <c r="AW30" i="15"/>
  <c r="AW24" i="15"/>
  <c r="AW61" i="15"/>
  <c r="AW34" i="15"/>
  <c r="AW22" i="15"/>
  <c r="AW46" i="15"/>
  <c r="AW47" i="15"/>
  <c r="AW38" i="15"/>
  <c r="AW31" i="15"/>
  <c r="AW51" i="15"/>
  <c r="AW28" i="15"/>
  <c r="AW59" i="15"/>
  <c r="AW49" i="15"/>
  <c r="AW48" i="15"/>
  <c r="AW52" i="15"/>
  <c r="AW39" i="15"/>
  <c r="AW29" i="15"/>
  <c r="AW54" i="15"/>
  <c r="AW60" i="15"/>
  <c r="AW19" i="15"/>
  <c r="AW26" i="15"/>
  <c r="AW41" i="15"/>
  <c r="AW58" i="15"/>
  <c r="AW18" i="15"/>
  <c r="AW63" i="15"/>
  <c r="AW64" i="15"/>
  <c r="AW65" i="15"/>
  <c r="AW66" i="15"/>
  <c r="AW67" i="15"/>
  <c r="AW68" i="15"/>
  <c r="AW69" i="15"/>
  <c r="AW70" i="15"/>
  <c r="AW71" i="15"/>
  <c r="AC38" i="15"/>
  <c r="AC28" i="15"/>
  <c r="AC30" i="15"/>
  <c r="AC29" i="15"/>
  <c r="AC34" i="15"/>
  <c r="AC43" i="15"/>
  <c r="AC41" i="15"/>
  <c r="AC20" i="15"/>
  <c r="AC18" i="15"/>
  <c r="AC24" i="15"/>
  <c r="AC37" i="15"/>
  <c r="AC22" i="15"/>
  <c r="AC48" i="15"/>
  <c r="AC46" i="15"/>
  <c r="AC23" i="15"/>
  <c r="AC39" i="15"/>
  <c r="AC47" i="15"/>
  <c r="AC32" i="15"/>
  <c r="AC27" i="15"/>
  <c r="AC25" i="15"/>
  <c r="AC19" i="15"/>
  <c r="AC49" i="15"/>
  <c r="AC33" i="15"/>
  <c r="AC44" i="15"/>
  <c r="AC40" i="15"/>
  <c r="AC31" i="15"/>
  <c r="AC50" i="15"/>
  <c r="AC51" i="15"/>
  <c r="AC52" i="15"/>
  <c r="I125" i="15"/>
  <c r="I85" i="15"/>
  <c r="I87" i="15"/>
  <c r="I93" i="15"/>
  <c r="I143" i="15"/>
  <c r="I115" i="15"/>
  <c r="I95" i="15"/>
  <c r="I18" i="15"/>
  <c r="I145" i="15"/>
  <c r="I72" i="15"/>
  <c r="I33" i="15"/>
  <c r="I107" i="15"/>
  <c r="I59" i="15"/>
  <c r="I60" i="15"/>
  <c r="I114" i="15"/>
  <c r="I147" i="15"/>
  <c r="I148" i="15"/>
  <c r="I137" i="15"/>
  <c r="I94" i="15"/>
  <c r="I121" i="15"/>
  <c r="I38" i="15"/>
  <c r="I119" i="15"/>
  <c r="I69" i="15"/>
  <c r="I123" i="15"/>
  <c r="I118" i="15"/>
  <c r="I138" i="15"/>
  <c r="I44" i="15"/>
  <c r="I91" i="15"/>
  <c r="I101" i="15"/>
  <c r="I82" i="15"/>
  <c r="I73" i="15"/>
  <c r="I32" i="15"/>
  <c r="I153" i="15"/>
  <c r="I122" i="15"/>
  <c r="I25" i="15"/>
  <c r="I19" i="15"/>
  <c r="I57" i="15"/>
  <c r="I117" i="15"/>
  <c r="I160" i="15"/>
  <c r="I157" i="15"/>
  <c r="I133" i="15"/>
  <c r="I92" i="15"/>
  <c r="I79" i="15"/>
  <c r="I116" i="15"/>
  <c r="I164" i="15"/>
  <c r="I112" i="15"/>
  <c r="I65" i="15"/>
  <c r="I77" i="15"/>
  <c r="I46" i="15"/>
  <c r="I98" i="15"/>
  <c r="I108" i="15"/>
  <c r="I42" i="15"/>
  <c r="I90" i="15"/>
  <c r="I22" i="15"/>
  <c r="I159" i="15"/>
  <c r="I102" i="15"/>
  <c r="I53" i="15"/>
  <c r="I31" i="15"/>
  <c r="I132" i="15"/>
  <c r="I64" i="15"/>
  <c r="I103" i="15"/>
  <c r="I34" i="15"/>
  <c r="I27" i="15"/>
  <c r="I30" i="15"/>
  <c r="I161" i="15"/>
  <c r="I61" i="15"/>
  <c r="I55" i="15"/>
  <c r="I52" i="15"/>
  <c r="I154" i="15"/>
  <c r="I120" i="15"/>
  <c r="I74" i="15"/>
  <c r="I56" i="15"/>
  <c r="I66" i="15"/>
  <c r="I140" i="15"/>
  <c r="I28" i="15"/>
  <c r="I106" i="15"/>
  <c r="I158" i="15"/>
  <c r="I162" i="15"/>
  <c r="I78" i="15"/>
  <c r="I36" i="15"/>
  <c r="I126" i="15"/>
  <c r="I156" i="15"/>
  <c r="I134" i="15"/>
  <c r="I76" i="15"/>
  <c r="I29" i="15"/>
  <c r="I68" i="15"/>
  <c r="I151" i="15"/>
  <c r="I163" i="15"/>
  <c r="I139" i="15"/>
  <c r="I49" i="15"/>
  <c r="I58" i="15"/>
  <c r="I150" i="15"/>
  <c r="I109" i="15"/>
  <c r="I142" i="15"/>
  <c r="I84" i="15"/>
  <c r="I86" i="15"/>
  <c r="I127" i="15"/>
  <c r="I99" i="15"/>
  <c r="I81" i="15"/>
  <c r="I75" i="15"/>
  <c r="I149" i="15"/>
  <c r="I21" i="15"/>
  <c r="I155" i="15"/>
  <c r="I47" i="15"/>
  <c r="I37" i="15"/>
  <c r="I24" i="15"/>
  <c r="I130" i="15"/>
  <c r="I113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41" i="29"/>
  <c r="I141" i="15" s="1"/>
  <c r="I38" i="29"/>
  <c r="I62" i="15" s="1"/>
  <c r="I39" i="29"/>
  <c r="I40" i="29"/>
  <c r="I89" i="15" s="1"/>
  <c r="I37" i="29"/>
  <c r="I135" i="15" s="1"/>
  <c r="I35" i="29"/>
  <c r="I26" i="15" s="1"/>
  <c r="I30" i="29"/>
  <c r="I152" i="15" s="1"/>
  <c r="I31" i="29"/>
  <c r="I129" i="15" s="1"/>
  <c r="I28" i="29"/>
  <c r="I12" i="29"/>
  <c r="I70" i="15" s="1"/>
  <c r="I13" i="29"/>
  <c r="I80" i="15" s="1"/>
  <c r="I49" i="29"/>
  <c r="AC42" i="15" s="1"/>
  <c r="I48" i="29"/>
  <c r="AC45" i="15" s="1"/>
  <c r="I47" i="29"/>
  <c r="AC36" i="15" s="1"/>
  <c r="I46" i="29"/>
  <c r="AC21" i="15" s="1"/>
  <c r="I45" i="29"/>
  <c r="I44" i="29"/>
  <c r="I96" i="15" s="1"/>
  <c r="I43" i="29"/>
  <c r="I67" i="15" s="1"/>
  <c r="I42" i="29"/>
  <c r="I36" i="29"/>
  <c r="I34" i="29"/>
  <c r="I71" i="15" s="1"/>
  <c r="I33" i="29"/>
  <c r="I124" i="15" s="1"/>
  <c r="I32" i="29"/>
  <c r="I23" i="15" s="1"/>
  <c r="I29" i="29"/>
  <c r="I35" i="15" s="1"/>
  <c r="I27" i="29"/>
  <c r="I43" i="15" s="1"/>
  <c r="I26" i="29"/>
  <c r="I146" i="15" s="1"/>
  <c r="I25" i="29"/>
  <c r="I88" i="15" s="1"/>
  <c r="I24" i="29"/>
  <c r="I144" i="15" s="1"/>
  <c r="I23" i="29"/>
  <c r="I22" i="29"/>
  <c r="I97" i="15" s="1"/>
  <c r="I21" i="29"/>
  <c r="I110" i="15" s="1"/>
  <c r="I20" i="29"/>
  <c r="I41" i="15" s="1"/>
  <c r="I19" i="29"/>
  <c r="I100" i="15" s="1"/>
  <c r="I18" i="29"/>
  <c r="I40" i="15" s="1"/>
  <c r="I17" i="29"/>
  <c r="I131" i="15" s="1"/>
  <c r="I16" i="29"/>
  <c r="I45" i="15" s="1"/>
  <c r="I15" i="29"/>
  <c r="I50" i="15" s="1"/>
  <c r="I14" i="29"/>
  <c r="I111" i="15" s="1"/>
  <c r="I11" i="29"/>
  <c r="I54" i="15" s="1"/>
  <c r="I10" i="29"/>
  <c r="I9" i="29"/>
  <c r="I39" i="15" s="1"/>
  <c r="I8" i="29"/>
  <c r="I51" i="15" s="1"/>
  <c r="I7" i="29"/>
  <c r="I128" i="15" s="1"/>
  <c r="I6" i="29"/>
  <c r="I5" i="29"/>
  <c r="I20" i="15" s="1"/>
  <c r="I4" i="29"/>
  <c r="I63" i="15" s="1"/>
  <c r="I3" i="29"/>
  <c r="I2" i="29"/>
  <c r="I136" i="15" s="1"/>
  <c r="BP20" i="15"/>
  <c r="BP19" i="15"/>
  <c r="BP24" i="15"/>
  <c r="BP25" i="15"/>
  <c r="BP18" i="15"/>
  <c r="BP22" i="15"/>
  <c r="BP21" i="15"/>
  <c r="BP23" i="15"/>
  <c r="BP26" i="15"/>
  <c r="BP27" i="15"/>
  <c r="BP28" i="15"/>
  <c r="BJ20" i="15"/>
  <c r="BN20" i="15"/>
  <c r="BO20" i="15"/>
  <c r="BJ19" i="15"/>
  <c r="BN19" i="15"/>
  <c r="BO19" i="15"/>
  <c r="BJ24" i="15"/>
  <c r="BO24" i="15"/>
  <c r="BJ25" i="15"/>
  <c r="BN25" i="15"/>
  <c r="BO25" i="15"/>
  <c r="AV32" i="15"/>
  <c r="AV46" i="15"/>
  <c r="AV29" i="15"/>
  <c r="AV42" i="15"/>
  <c r="AV33" i="15"/>
  <c r="AV22" i="15"/>
  <c r="AV25" i="15"/>
  <c r="AV50" i="15"/>
  <c r="AV27" i="15"/>
  <c r="AV43" i="15"/>
  <c r="AV28" i="15"/>
  <c r="AV23" i="15"/>
  <c r="AV31" i="15"/>
  <c r="AV30" i="15"/>
  <c r="AV61" i="15"/>
  <c r="AV47" i="15"/>
  <c r="AV60" i="15"/>
  <c r="AV59" i="15"/>
  <c r="AV49" i="15"/>
  <c r="AV56" i="15"/>
  <c r="AV55" i="15"/>
  <c r="AV45" i="15"/>
  <c r="AV21" i="15"/>
  <c r="AV34" i="15"/>
  <c r="AV51" i="15"/>
  <c r="AV26" i="15"/>
  <c r="AV39" i="15"/>
  <c r="AV37" i="15"/>
  <c r="AV35" i="15"/>
  <c r="AV58" i="15"/>
  <c r="AV38" i="15"/>
  <c r="AV57" i="15"/>
  <c r="AV41" i="15"/>
  <c r="AV19" i="15"/>
  <c r="AV36" i="15"/>
  <c r="AV53" i="15"/>
  <c r="AV40" i="15"/>
  <c r="AV44" i="15"/>
  <c r="AV48" i="15"/>
  <c r="AV54" i="15"/>
  <c r="AV52" i="15"/>
  <c r="AV18" i="15"/>
  <c r="AV63" i="15"/>
  <c r="AV64" i="15"/>
  <c r="AV65" i="15"/>
  <c r="AV66" i="15"/>
  <c r="AV67" i="15"/>
  <c r="AV68" i="15"/>
  <c r="AV69" i="15"/>
  <c r="AV70" i="15"/>
  <c r="AV71" i="15"/>
  <c r="AB38" i="15"/>
  <c r="AB28" i="15"/>
  <c r="AB30" i="15"/>
  <c r="AB41" i="15"/>
  <c r="AB29" i="15"/>
  <c r="AB34" i="15"/>
  <c r="AB20" i="15"/>
  <c r="AB18" i="15"/>
  <c r="AB43" i="15"/>
  <c r="AB24" i="15"/>
  <c r="AB37" i="15"/>
  <c r="AB22" i="15"/>
  <c r="AB48" i="15"/>
  <c r="AB46" i="15"/>
  <c r="AB36" i="15"/>
  <c r="AB23" i="15"/>
  <c r="AB39" i="15"/>
  <c r="AB47" i="15"/>
  <c r="AB21" i="15"/>
  <c r="AB32" i="15"/>
  <c r="AB35" i="15"/>
  <c r="AB27" i="15"/>
  <c r="AB42" i="15"/>
  <c r="AB25" i="15"/>
  <c r="AB26" i="15"/>
  <c r="AB45" i="15"/>
  <c r="AB19" i="15"/>
  <c r="AB49" i="15"/>
  <c r="AB33" i="15"/>
  <c r="AB44" i="15"/>
  <c r="AB40" i="15"/>
  <c r="AB31" i="15"/>
  <c r="AB50" i="15"/>
  <c r="AB51" i="15"/>
  <c r="AB52" i="15"/>
  <c r="H35" i="15"/>
  <c r="H59" i="15"/>
  <c r="H115" i="15"/>
  <c r="H126" i="15"/>
  <c r="H162" i="15"/>
  <c r="H158" i="15"/>
  <c r="H85" i="15"/>
  <c r="H121" i="15"/>
  <c r="H127" i="15"/>
  <c r="H45" i="15"/>
  <c r="H159" i="15"/>
  <c r="H81" i="15"/>
  <c r="H111" i="15"/>
  <c r="H135" i="15"/>
  <c r="H36" i="15"/>
  <c r="H30" i="15"/>
  <c r="H20" i="15"/>
  <c r="H88" i="15"/>
  <c r="H143" i="15"/>
  <c r="H40" i="15"/>
  <c r="H153" i="15"/>
  <c r="H50" i="15"/>
  <c r="H125" i="15"/>
  <c r="H73" i="15"/>
  <c r="H65" i="15"/>
  <c r="H163" i="15"/>
  <c r="H64" i="15"/>
  <c r="H60" i="15"/>
  <c r="H68" i="15"/>
  <c r="H23" i="15"/>
  <c r="H46" i="15"/>
  <c r="H108" i="15"/>
  <c r="H120" i="15"/>
  <c r="H131" i="15"/>
  <c r="H80" i="15"/>
  <c r="H107" i="15"/>
  <c r="H87" i="15"/>
  <c r="H56" i="15"/>
  <c r="H51" i="15"/>
  <c r="H150" i="15"/>
  <c r="H154" i="15"/>
  <c r="H54" i="15"/>
  <c r="H18" i="15"/>
  <c r="H164" i="15"/>
  <c r="H106" i="15"/>
  <c r="H26" i="15"/>
  <c r="H156" i="15"/>
  <c r="H66" i="15"/>
  <c r="H69" i="15"/>
  <c r="H140" i="15"/>
  <c r="H157" i="15"/>
  <c r="H34" i="15"/>
  <c r="H161" i="15"/>
  <c r="H77" i="15"/>
  <c r="H110" i="15"/>
  <c r="H145" i="15"/>
  <c r="H89" i="15"/>
  <c r="H90" i="15"/>
  <c r="H86" i="15"/>
  <c r="H102" i="15"/>
  <c r="H122" i="15"/>
  <c r="H27" i="15"/>
  <c r="H112" i="15"/>
  <c r="H33" i="15"/>
  <c r="H134" i="15"/>
  <c r="H74" i="15"/>
  <c r="H114" i="15"/>
  <c r="H25" i="15"/>
  <c r="H79" i="15"/>
  <c r="H118" i="15"/>
  <c r="H41" i="15"/>
  <c r="H109" i="15"/>
  <c r="H101" i="15"/>
  <c r="H49" i="15"/>
  <c r="H119" i="15"/>
  <c r="H57" i="15"/>
  <c r="H71" i="15"/>
  <c r="H124" i="15"/>
  <c r="H38" i="15"/>
  <c r="H93" i="15"/>
  <c r="H32" i="15"/>
  <c r="H94" i="15"/>
  <c r="H61" i="15"/>
  <c r="H141" i="15"/>
  <c r="H91" i="15"/>
  <c r="H78" i="15"/>
  <c r="H100" i="15"/>
  <c r="H76" i="15"/>
  <c r="H29" i="15"/>
  <c r="H53" i="15"/>
  <c r="H67" i="15"/>
  <c r="H117" i="15"/>
  <c r="H136" i="15"/>
  <c r="H151" i="15"/>
  <c r="H22" i="15"/>
  <c r="H142" i="15"/>
  <c r="H103" i="15"/>
  <c r="H44" i="15"/>
  <c r="H138" i="15"/>
  <c r="H55" i="15"/>
  <c r="H129" i="15"/>
  <c r="H58" i="15"/>
  <c r="H43" i="15"/>
  <c r="H82" i="15"/>
  <c r="H19" i="15"/>
  <c r="H148" i="15"/>
  <c r="H99" i="15"/>
  <c r="H123" i="15"/>
  <c r="H52" i="15"/>
  <c r="H160" i="15"/>
  <c r="H146" i="15"/>
  <c r="H31" i="15"/>
  <c r="H147" i="15"/>
  <c r="H75" i="15"/>
  <c r="H152" i="15"/>
  <c r="H21" i="15"/>
  <c r="H97" i="15"/>
  <c r="H39" i="15"/>
  <c r="H155" i="15"/>
  <c r="H144" i="15"/>
  <c r="H37" i="15"/>
  <c r="H24" i="15"/>
  <c r="H96" i="15"/>
  <c r="H130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113" i="15"/>
  <c r="AV24" i="15"/>
  <c r="AV20" i="15"/>
  <c r="H92" i="15"/>
  <c r="H116" i="15"/>
  <c r="H128" i="15"/>
  <c r="H132" i="15"/>
  <c r="H98" i="15"/>
  <c r="H72" i="15"/>
  <c r="H149" i="15"/>
  <c r="H139" i="15"/>
  <c r="H95" i="15"/>
  <c r="H133" i="15"/>
  <c r="H63" i="15"/>
  <c r="H47" i="15"/>
  <c r="H70" i="15"/>
  <c r="I2" i="28"/>
  <c r="H137" i="15" s="1"/>
  <c r="BO22" i="15"/>
  <c r="BO21" i="15"/>
  <c r="BO23" i="15"/>
  <c r="BO26" i="15"/>
  <c r="BO27" i="15"/>
  <c r="BO28" i="15"/>
  <c r="AU45" i="15"/>
  <c r="AU38" i="15"/>
  <c r="AU43" i="15"/>
  <c r="AU50" i="15"/>
  <c r="AU33" i="15"/>
  <c r="AU20" i="15"/>
  <c r="AU60" i="15"/>
  <c r="AU26" i="15"/>
  <c r="AU28" i="15"/>
  <c r="AU59" i="15"/>
  <c r="AU42" i="15"/>
  <c r="AU49" i="15"/>
  <c r="AU23" i="15"/>
  <c r="AU24" i="15"/>
  <c r="AU57" i="15"/>
  <c r="AU25" i="15"/>
  <c r="AU56" i="15"/>
  <c r="AU36" i="15"/>
  <c r="AU21" i="15"/>
  <c r="AU34" i="15"/>
  <c r="AU51" i="15"/>
  <c r="AU37" i="15"/>
  <c r="AU31" i="15"/>
  <c r="AU22" i="15"/>
  <c r="AU32" i="15"/>
  <c r="AU30" i="15"/>
  <c r="AU46" i="15"/>
  <c r="AU53" i="15"/>
  <c r="AU27" i="15"/>
  <c r="AU55" i="15"/>
  <c r="AU61" i="15"/>
  <c r="AU47" i="15"/>
  <c r="AU35" i="15"/>
  <c r="AU41" i="15"/>
  <c r="AU29" i="15"/>
  <c r="AU19" i="15"/>
  <c r="AU58" i="15"/>
  <c r="AU44" i="15"/>
  <c r="AU48" i="15"/>
  <c r="AU52" i="15"/>
  <c r="AU63" i="15"/>
  <c r="AU64" i="15"/>
  <c r="AU65" i="15"/>
  <c r="AU66" i="15"/>
  <c r="AU67" i="15"/>
  <c r="AU68" i="15"/>
  <c r="AU69" i="15"/>
  <c r="AU70" i="15"/>
  <c r="AU71" i="15"/>
  <c r="AA28" i="15"/>
  <c r="AA20" i="15"/>
  <c r="AA37" i="15"/>
  <c r="AA48" i="15"/>
  <c r="AA29" i="15"/>
  <c r="AA41" i="15"/>
  <c r="AA34" i="15"/>
  <c r="AA18" i="15"/>
  <c r="AA23" i="15"/>
  <c r="AA46" i="15"/>
  <c r="AA27" i="15"/>
  <c r="AA45" i="15"/>
  <c r="AA22" i="15"/>
  <c r="AA42" i="15"/>
  <c r="AA49" i="15"/>
  <c r="AA39" i="15"/>
  <c r="AA26" i="15"/>
  <c r="AA30" i="15"/>
  <c r="AA24" i="15"/>
  <c r="AA47" i="15"/>
  <c r="AA33" i="15"/>
  <c r="AA19" i="15"/>
  <c r="AA38" i="15"/>
  <c r="AA36" i="15"/>
  <c r="AA21" i="15"/>
  <c r="AA43" i="15"/>
  <c r="AA25" i="15"/>
  <c r="AA44" i="15"/>
  <c r="AA40" i="15"/>
  <c r="AA31" i="15"/>
  <c r="AA50" i="15"/>
  <c r="AA51" i="15"/>
  <c r="AA52" i="15"/>
  <c r="I54" i="27"/>
  <c r="BO18" i="15" s="1"/>
  <c r="I37" i="27"/>
  <c r="I53" i="27"/>
  <c r="AU54" i="15" s="1"/>
  <c r="I52" i="27"/>
  <c r="I51" i="27"/>
  <c r="I50" i="27"/>
  <c r="AU18" i="15" s="1"/>
  <c r="I49" i="27"/>
  <c r="AU40" i="15" s="1"/>
  <c r="I48" i="27"/>
  <c r="I47" i="27"/>
  <c r="I46" i="27"/>
  <c r="AU39" i="15" s="1"/>
  <c r="I45" i="27"/>
  <c r="AA35" i="15" s="1"/>
  <c r="I44" i="27"/>
  <c r="I43" i="27"/>
  <c r="I42" i="27"/>
  <c r="AA32" i="15" s="1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2" i="15"/>
  <c r="BN21" i="15"/>
  <c r="BN23" i="15"/>
  <c r="BN26" i="15"/>
  <c r="BN27" i="15"/>
  <c r="BN28" i="15"/>
  <c r="Z29" i="15"/>
  <c r="Z37" i="15"/>
  <c r="Z20" i="15"/>
  <c r="Z47" i="15"/>
  <c r="Z40" i="15"/>
  <c r="Z31" i="15"/>
  <c r="Z50" i="15"/>
  <c r="Z51" i="15"/>
  <c r="Z52" i="15"/>
  <c r="F120" i="15"/>
  <c r="F154" i="15"/>
  <c r="F158" i="15"/>
  <c r="F117" i="15"/>
  <c r="F111" i="15"/>
  <c r="F81" i="15"/>
  <c r="F162" i="15"/>
  <c r="F118" i="15"/>
  <c r="F68" i="15"/>
  <c r="F18" i="15"/>
  <c r="F41" i="15"/>
  <c r="F112" i="15"/>
  <c r="F85" i="15"/>
  <c r="F56" i="15"/>
  <c r="F133" i="15"/>
  <c r="F106" i="15"/>
  <c r="F156" i="15"/>
  <c r="F116" i="15"/>
  <c r="F66" i="15"/>
  <c r="F131" i="15"/>
  <c r="F134" i="15"/>
  <c r="F101" i="15"/>
  <c r="F163" i="15"/>
  <c r="F114" i="15"/>
  <c r="F36" i="15"/>
  <c r="F27" i="15"/>
  <c r="F142" i="15"/>
  <c r="F161" i="15"/>
  <c r="F126" i="15"/>
  <c r="F57" i="15"/>
  <c r="F50" i="15"/>
  <c r="F124" i="15"/>
  <c r="F143" i="15"/>
  <c r="F55" i="15"/>
  <c r="F139" i="15"/>
  <c r="F128" i="15"/>
  <c r="F79" i="15"/>
  <c r="F34" i="15"/>
  <c r="F42" i="15"/>
  <c r="F135" i="15"/>
  <c r="F148" i="15"/>
  <c r="F107" i="15"/>
  <c r="F98" i="15"/>
  <c r="F151" i="15"/>
  <c r="F60" i="15"/>
  <c r="F145" i="15"/>
  <c r="F72" i="15"/>
  <c r="F160" i="15"/>
  <c r="F146" i="15"/>
  <c r="F147" i="15"/>
  <c r="F152" i="15"/>
  <c r="F155" i="15"/>
  <c r="F24" i="15"/>
  <c r="F96" i="15"/>
  <c r="F130" i="15"/>
  <c r="F113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AT48" i="15"/>
  <c r="AT52" i="15"/>
  <c r="AT54" i="15"/>
  <c r="I33" i="26"/>
  <c r="AT21" i="15" s="1"/>
  <c r="AT43" i="15"/>
  <c r="I31" i="26"/>
  <c r="AT35" i="15" s="1"/>
  <c r="I32" i="26"/>
  <c r="AT19" i="15" s="1"/>
  <c r="Z35" i="15"/>
  <c r="Z49" i="15"/>
  <c r="AT50" i="15"/>
  <c r="I34" i="26"/>
  <c r="AT53" i="15" s="1"/>
  <c r="AT22" i="15"/>
  <c r="AT41" i="15"/>
  <c r="Z46" i="15"/>
  <c r="Z25" i="15"/>
  <c r="Z48" i="15"/>
  <c r="Z41" i="15"/>
  <c r="I30" i="26"/>
  <c r="Z30" i="15" s="1"/>
  <c r="I29" i="26"/>
  <c r="Z23" i="15" s="1"/>
  <c r="I28" i="26"/>
  <c r="Z44" i="15" s="1"/>
  <c r="F149" i="15"/>
  <c r="F140" i="15"/>
  <c r="F93" i="15"/>
  <c r="I27" i="26"/>
  <c r="I26" i="26"/>
  <c r="F73" i="15" s="1"/>
  <c r="I25" i="26"/>
  <c r="F108" i="15" s="1"/>
  <c r="F157" i="15"/>
  <c r="I24" i="26"/>
  <c r="F25" i="15" s="1"/>
  <c r="I23" i="26"/>
  <c r="F21" i="15" s="1"/>
  <c r="I22" i="26"/>
  <c r="I21" i="26"/>
  <c r="F136" i="15" s="1"/>
  <c r="I20" i="26"/>
  <c r="F71" i="15" s="1"/>
  <c r="I19" i="26"/>
  <c r="F99" i="15" s="1"/>
  <c r="I18" i="26"/>
  <c r="F76" i="15" s="1"/>
  <c r="I17" i="26"/>
  <c r="F125" i="15" s="1"/>
  <c r="F49" i="15"/>
  <c r="F138" i="15"/>
  <c r="I16" i="26"/>
  <c r="F141" i="15" s="1"/>
  <c r="I15" i="26"/>
  <c r="F95" i="15" s="1"/>
  <c r="I14" i="26"/>
  <c r="F43" i="15" s="1"/>
  <c r="I13" i="26"/>
  <c r="F33" i="15" s="1"/>
  <c r="I12" i="26"/>
  <c r="I11" i="26"/>
  <c r="F40" i="15" s="1"/>
  <c r="I10" i="26"/>
  <c r="I9" i="26"/>
  <c r="F129" i="15" s="1"/>
  <c r="F103" i="15"/>
  <c r="I8" i="26"/>
  <c r="F22" i="15" s="1"/>
  <c r="I7" i="26"/>
  <c r="F110" i="15" s="1"/>
  <c r="I6" i="26"/>
  <c r="F32" i="15" s="1"/>
  <c r="I5" i="26"/>
  <c r="F122" i="15" s="1"/>
  <c r="I4" i="26"/>
  <c r="F80" i="15" s="1"/>
  <c r="I3" i="26"/>
  <c r="I2" i="26"/>
  <c r="F90" i="15" s="1"/>
  <c r="I10" i="24"/>
  <c r="I11" i="24"/>
  <c r="I12" i="24"/>
  <c r="I13" i="24"/>
  <c r="I15" i="24"/>
  <c r="I55" i="24"/>
  <c r="I54" i="24"/>
  <c r="I53" i="24"/>
  <c r="I52" i="24"/>
  <c r="I51" i="24"/>
  <c r="I50" i="24"/>
  <c r="I49" i="24"/>
  <c r="I47" i="24"/>
  <c r="I46" i="24"/>
  <c r="I45" i="24"/>
  <c r="I44" i="24"/>
  <c r="I37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3" i="16"/>
  <c r="W38" i="15" s="1"/>
  <c r="I44" i="16"/>
  <c r="W45" i="15" s="1"/>
  <c r="I45" i="16"/>
  <c r="I49" i="16"/>
  <c r="I54" i="14"/>
  <c r="I55" i="14"/>
  <c r="I56" i="14"/>
  <c r="I57" i="14"/>
  <c r="I58" i="14"/>
  <c r="B101" i="15"/>
  <c r="B37" i="15"/>
  <c r="B167" i="15"/>
  <c r="B181" i="15"/>
  <c r="C167" i="15"/>
  <c r="C181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28" i="15"/>
  <c r="B171" i="15"/>
  <c r="B172" i="15"/>
  <c r="C31" i="15"/>
  <c r="C87" i="15"/>
  <c r="C28" i="15"/>
  <c r="C171" i="15"/>
  <c r="C188" i="15"/>
  <c r="C172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0" i="15"/>
  <c r="W40" i="15"/>
  <c r="B174" i="15"/>
  <c r="B184" i="15"/>
  <c r="B21" i="15"/>
  <c r="B208" i="15"/>
  <c r="B66" i="15"/>
  <c r="C174" i="15"/>
  <c r="C184" i="15"/>
  <c r="C208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20" i="15"/>
  <c r="B81" i="15"/>
  <c r="B98" i="15"/>
  <c r="B178" i="15"/>
  <c r="C178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3" i="15"/>
  <c r="B189" i="15"/>
  <c r="B201" i="15"/>
  <c r="B176" i="15"/>
  <c r="B112" i="15"/>
  <c r="B85" i="15"/>
  <c r="B78" i="15"/>
  <c r="C183" i="15"/>
  <c r="C189" i="15"/>
  <c r="C201" i="15"/>
  <c r="C176" i="15"/>
  <c r="B68" i="15"/>
  <c r="C68" i="15"/>
  <c r="B195" i="15"/>
  <c r="B168" i="15"/>
  <c r="C195" i="15"/>
  <c r="C168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91" i="15"/>
  <c r="B180" i="15"/>
  <c r="B113" i="15"/>
  <c r="B169" i="15"/>
  <c r="B59" i="15"/>
  <c r="B146" i="15"/>
  <c r="B210" i="15"/>
  <c r="B185" i="15"/>
  <c r="B131" i="15"/>
  <c r="B206" i="15"/>
  <c r="C18" i="15"/>
  <c r="C191" i="15"/>
  <c r="C180" i="15"/>
  <c r="C113" i="15"/>
  <c r="C69" i="15"/>
  <c r="C74" i="15"/>
  <c r="C58" i="15"/>
  <c r="C169" i="15"/>
  <c r="C210" i="15"/>
  <c r="C185" i="15"/>
  <c r="C131" i="15"/>
  <c r="C206" i="15"/>
  <c r="C118" i="15"/>
  <c r="C202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2" i="15"/>
  <c r="AQ41" i="15"/>
  <c r="AQ56" i="15"/>
  <c r="AP55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35" i="15"/>
  <c r="AP35" i="15"/>
  <c r="BJ23" i="15"/>
  <c r="BJ21" i="15"/>
  <c r="AQ69" i="15"/>
  <c r="AQ20" i="15"/>
  <c r="AQ67" i="15"/>
  <c r="AP58" i="15"/>
  <c r="AP71" i="15"/>
  <c r="AP70" i="15"/>
  <c r="AP36" i="15"/>
  <c r="W50" i="15"/>
  <c r="V31" i="15"/>
  <c r="B163" i="15"/>
  <c r="B88" i="15"/>
  <c r="B82" i="15"/>
  <c r="B182" i="15"/>
  <c r="B100" i="15"/>
  <c r="B192" i="15"/>
  <c r="B96" i="15"/>
  <c r="B173" i="15"/>
  <c r="B209" i="15"/>
  <c r="B80" i="15"/>
  <c r="B199" i="15"/>
  <c r="B155" i="15"/>
  <c r="B204" i="15"/>
  <c r="B52" i="15"/>
  <c r="B198" i="15"/>
  <c r="B175" i="15"/>
  <c r="B166" i="15"/>
  <c r="B62" i="15"/>
  <c r="B193" i="15"/>
  <c r="B153" i="15"/>
  <c r="B196" i="15"/>
  <c r="B24" i="15"/>
  <c r="B197" i="15"/>
  <c r="B50" i="15"/>
  <c r="B207" i="15"/>
  <c r="C200" i="15"/>
  <c r="C170" i="15"/>
  <c r="C41" i="15"/>
  <c r="C99" i="15"/>
  <c r="C205" i="15"/>
  <c r="C194" i="15"/>
  <c r="C203" i="15"/>
  <c r="C47" i="15"/>
  <c r="C179" i="15"/>
  <c r="C190" i="15"/>
  <c r="C57" i="15"/>
  <c r="C177" i="15"/>
  <c r="C122" i="15"/>
  <c r="C193" i="15"/>
  <c r="C107" i="15"/>
  <c r="C51" i="15"/>
  <c r="C136" i="15"/>
  <c r="C196" i="15"/>
  <c r="C158" i="15"/>
  <c r="C77" i="15"/>
  <c r="C79" i="15"/>
  <c r="C24" i="15"/>
  <c r="C197" i="15"/>
  <c r="C50" i="15"/>
  <c r="BK21" i="15"/>
  <c r="BK27" i="15"/>
  <c r="AQ71" i="15"/>
  <c r="AQ19" i="15"/>
  <c r="BK23" i="15"/>
  <c r="AQ43" i="15"/>
  <c r="AQ70" i="15"/>
  <c r="AQ63" i="15"/>
  <c r="AQ25" i="15"/>
  <c r="AQ45" i="15"/>
  <c r="AQ61" i="15"/>
  <c r="AQ21" i="15"/>
  <c r="AQ64" i="15"/>
  <c r="AQ54" i="15"/>
  <c r="AQ42" i="15"/>
  <c r="AQ58" i="15"/>
  <c r="AQ48" i="15"/>
  <c r="W29" i="15"/>
  <c r="W31" i="15"/>
  <c r="I51" i="16"/>
  <c r="I52" i="16"/>
  <c r="C139" i="15"/>
  <c r="I60" i="16"/>
  <c r="C100" i="15" s="1"/>
  <c r="I61" i="16"/>
  <c r="C142" i="15" s="1"/>
  <c r="I62" i="16"/>
  <c r="AQ24" i="15" s="1"/>
  <c r="I63" i="16"/>
  <c r="AQ18" i="15" s="1"/>
  <c r="I67" i="16"/>
  <c r="AQ47" i="15" s="1"/>
  <c r="I68" i="16"/>
  <c r="C186" i="15" s="1"/>
  <c r="I69" i="16"/>
  <c r="C207" i="15" s="1"/>
  <c r="I70" i="16"/>
  <c r="I76" i="16"/>
  <c r="C110" i="15" s="1"/>
  <c r="I77" i="16"/>
  <c r="C120" i="15" s="1"/>
  <c r="C173" i="15"/>
  <c r="C198" i="15"/>
  <c r="C155" i="15"/>
  <c r="C204" i="15"/>
  <c r="I50" i="16"/>
  <c r="C88" i="15" s="1"/>
  <c r="I18" i="16"/>
  <c r="C166" i="15" s="1"/>
  <c r="I19" i="16"/>
  <c r="C59" i="15" s="1"/>
  <c r="I20" i="16"/>
  <c r="C211" i="15" s="1"/>
  <c r="I21" i="16"/>
  <c r="C209" i="15" s="1"/>
  <c r="I22" i="16"/>
  <c r="C149" i="15" s="1"/>
  <c r="I23" i="16"/>
  <c r="I24" i="16"/>
  <c r="C212" i="15" s="1"/>
  <c r="I25" i="16"/>
  <c r="C146" i="15" s="1"/>
  <c r="I26" i="16"/>
  <c r="C46" i="15" s="1"/>
  <c r="I27" i="16"/>
  <c r="C52" i="15" s="1"/>
  <c r="I28" i="16"/>
  <c r="C134" i="15" s="1"/>
  <c r="I29" i="16"/>
  <c r="C62" i="15" s="1"/>
  <c r="I30" i="16"/>
  <c r="C187" i="15" s="1"/>
  <c r="I36" i="16"/>
  <c r="C29" i="15" s="1"/>
  <c r="I37" i="16"/>
  <c r="C153" i="15" s="1"/>
  <c r="I38" i="16"/>
  <c r="C101" i="15" s="1"/>
  <c r="I40" i="16"/>
  <c r="W28" i="15" s="1"/>
  <c r="I41" i="16"/>
  <c r="C137" i="15" s="1"/>
  <c r="I42" i="16"/>
  <c r="C163" i="15"/>
  <c r="C138" i="15"/>
  <c r="C182" i="15"/>
  <c r="C96" i="15"/>
  <c r="C192" i="15"/>
  <c r="C37" i="15"/>
  <c r="C199" i="15"/>
  <c r="C39" i="15"/>
  <c r="I17" i="16"/>
  <c r="C145" i="15" s="1"/>
  <c r="I16" i="16"/>
  <c r="C143" i="15" s="1"/>
  <c r="I15" i="16"/>
  <c r="C165" i="15" s="1"/>
  <c r="I14" i="16"/>
  <c r="I13" i="16"/>
  <c r="C25" i="15" s="1"/>
  <c r="I12" i="16"/>
  <c r="C67" i="15" s="1"/>
  <c r="I11" i="16"/>
  <c r="C106" i="15" s="1"/>
  <c r="I10" i="16"/>
  <c r="I3" i="16"/>
  <c r="I4" i="16"/>
  <c r="I5" i="16"/>
  <c r="C123" i="15" s="1"/>
  <c r="I6" i="16"/>
  <c r="C26" i="15" s="1"/>
  <c r="I7" i="16"/>
  <c r="C125" i="15" s="1"/>
  <c r="I8" i="16"/>
  <c r="C126" i="15" s="1"/>
  <c r="I9" i="16"/>
  <c r="C75" i="15" s="1"/>
  <c r="I2" i="16"/>
  <c r="C175" i="15" s="1"/>
  <c r="W51" i="15"/>
  <c r="BJ27" i="15"/>
  <c r="I60" i="14"/>
  <c r="AP47" i="15"/>
  <c r="I59" i="14"/>
  <c r="AP33" i="15"/>
  <c r="I50" i="14"/>
  <c r="AP22" i="15" s="1"/>
  <c r="I51" i="14"/>
  <c r="AP69" i="15" s="1"/>
  <c r="I52" i="14"/>
  <c r="AP63" i="15" s="1"/>
  <c r="I53" i="14"/>
  <c r="AP52" i="15"/>
  <c r="I49" i="14"/>
  <c r="I47" i="14"/>
  <c r="I48" i="14"/>
  <c r="AP31" i="15"/>
  <c r="AP67" i="15"/>
  <c r="AP48" i="15"/>
  <c r="I46" i="14"/>
  <c r="I41" i="14"/>
  <c r="I42" i="14"/>
  <c r="V51" i="15" s="1"/>
  <c r="V48" i="15"/>
  <c r="I3" i="14"/>
  <c r="B114" i="15" s="1"/>
  <c r="I4" i="14"/>
  <c r="B118" i="15" s="1"/>
  <c r="I5" i="14"/>
  <c r="I6" i="14"/>
  <c r="I7" i="14"/>
  <c r="B72" i="15"/>
  <c r="B194" i="15"/>
  <c r="B161" i="15"/>
  <c r="B177" i="15"/>
  <c r="B61" i="15"/>
  <c r="I8" i="14"/>
  <c r="B110" i="15" s="1"/>
  <c r="I9" i="14"/>
  <c r="I10" i="14"/>
  <c r="B90" i="15" s="1"/>
  <c r="I11" i="14"/>
  <c r="B179" i="15" s="1"/>
  <c r="I12" i="14"/>
  <c r="B145" i="15" s="1"/>
  <c r="I13" i="14"/>
  <c r="B67" i="15" s="1"/>
  <c r="I14" i="14"/>
  <c r="B20" i="15" s="1"/>
  <c r="B200" i="15"/>
  <c r="B140" i="15"/>
  <c r="B165" i="15"/>
  <c r="I15" i="14"/>
  <c r="B164" i="15" s="1"/>
  <c r="I16" i="14"/>
  <c r="B212" i="15" s="1"/>
  <c r="I17" i="14"/>
  <c r="B190" i="15" s="1"/>
  <c r="I18" i="14"/>
  <c r="B97" i="15" s="1"/>
  <c r="I19" i="14"/>
  <c r="B211" i="15" s="1"/>
  <c r="I20" i="14"/>
  <c r="B47" i="15" s="1"/>
  <c r="I21" i="14"/>
  <c r="B73" i="15" s="1"/>
  <c r="I22" i="14"/>
  <c r="B170" i="15" s="1"/>
  <c r="I23" i="14"/>
  <c r="B134" i="15"/>
  <c r="B149" i="15"/>
  <c r="B148" i="15"/>
  <c r="B138" i="15"/>
  <c r="B203" i="15"/>
  <c r="B117" i="15"/>
  <c r="B36" i="15"/>
  <c r="I24" i="14"/>
  <c r="I25" i="14"/>
  <c r="I26" i="14"/>
  <c r="B205" i="15" s="1"/>
  <c r="I27" i="14"/>
  <c r="I28" i="14"/>
  <c r="B76" i="15" s="1"/>
  <c r="I32" i="14"/>
  <c r="V38" i="15" s="1"/>
  <c r="I33" i="14"/>
  <c r="V41" i="15" s="1"/>
  <c r="I34" i="14"/>
  <c r="V22" i="15" s="1"/>
  <c r="I35" i="14"/>
  <c r="V36" i="15" s="1"/>
  <c r="I37" i="14"/>
  <c r="V50" i="15" s="1"/>
  <c r="I38" i="14"/>
  <c r="V20" i="15" s="1"/>
  <c r="I2" i="14"/>
  <c r="B122" i="15" s="1"/>
  <c r="L105" i="15" l="1"/>
  <c r="N105" i="15"/>
  <c r="Q104" i="15"/>
  <c r="N83" i="15"/>
  <c r="M105" i="15"/>
  <c r="P105" i="15" s="1" a="1"/>
  <c r="P105" i="15" s="1"/>
  <c r="N48" i="15"/>
  <c r="M104" i="15"/>
  <c r="P104" i="15" s="1" a="1"/>
  <c r="P104" i="15" s="1"/>
  <c r="Q83" i="15"/>
  <c r="Q48" i="15"/>
  <c r="K105" i="15"/>
  <c r="O105" i="15" s="1" a="1"/>
  <c r="O105" i="15" s="1"/>
  <c r="K104" i="15"/>
  <c r="O104" i="15" s="1" a="1"/>
  <c r="O104" i="15" s="1"/>
  <c r="L104" i="15"/>
  <c r="M83" i="15"/>
  <c r="P83" i="15" s="1" a="1"/>
  <c r="P83" i="15" s="1"/>
  <c r="M48" i="15"/>
  <c r="P48" i="15" s="1" a="1"/>
  <c r="P48" i="15" s="1"/>
  <c r="L83" i="15"/>
  <c r="K83" i="15"/>
  <c r="O83" i="15" s="1" a="1"/>
  <c r="O83" i="15" s="1"/>
  <c r="K48" i="15"/>
  <c r="O48" i="15" s="1" a="1"/>
  <c r="O48" i="15" s="1"/>
  <c r="R104" i="15"/>
  <c r="N104" i="15"/>
  <c r="Q105" i="15"/>
  <c r="E28" i="15"/>
  <c r="E37" i="15"/>
  <c r="F64" i="15"/>
  <c r="M64" i="15" s="1"/>
  <c r="P64" i="15" s="1" a="1"/>
  <c r="P64" i="15" s="1"/>
  <c r="F20" i="15"/>
  <c r="F82" i="15"/>
  <c r="F77" i="15"/>
  <c r="M77" i="15" s="1"/>
  <c r="P77" i="15" s="1" a="1"/>
  <c r="P77" i="15" s="1"/>
  <c r="F100" i="15"/>
  <c r="M100" i="15" s="1"/>
  <c r="P100" i="15" s="1" a="1"/>
  <c r="P100" i="15" s="1"/>
  <c r="F65" i="15"/>
  <c r="M65" i="15" s="1"/>
  <c r="P65" i="15" s="1" a="1"/>
  <c r="P65" i="15" s="1"/>
  <c r="F51" i="15"/>
  <c r="M51" i="15" s="1"/>
  <c r="P51" i="15" s="1" a="1"/>
  <c r="P51" i="15" s="1"/>
  <c r="F86" i="15"/>
  <c r="M86" i="15" s="1"/>
  <c r="P86" i="15" s="1" a="1"/>
  <c r="P86" i="15" s="1"/>
  <c r="F30" i="15"/>
  <c r="M30" i="15" s="1"/>
  <c r="P30" i="15" s="1" a="1"/>
  <c r="P30" i="15" s="1"/>
  <c r="F88" i="15"/>
  <c r="M88" i="15" s="1"/>
  <c r="P88" i="15" s="1" a="1"/>
  <c r="P88" i="15" s="1"/>
  <c r="F39" i="15"/>
  <c r="M39" i="15" s="1"/>
  <c r="P39" i="15" s="1" a="1"/>
  <c r="P39" i="15" s="1"/>
  <c r="F78" i="15"/>
  <c r="M78" i="15" s="1"/>
  <c r="P78" i="15" s="1" a="1"/>
  <c r="P78" i="15" s="1"/>
  <c r="F23" i="15"/>
  <c r="M23" i="15" s="1"/>
  <c r="P23" i="15" s="1" a="1"/>
  <c r="P23" i="15" s="1"/>
  <c r="F45" i="15"/>
  <c r="M45" i="15" s="1"/>
  <c r="P45" i="15" s="1" a="1"/>
  <c r="P45" i="15" s="1"/>
  <c r="F67" i="15"/>
  <c r="M67" i="15" s="1"/>
  <c r="P67" i="15" s="1" a="1"/>
  <c r="P67" i="15" s="1"/>
  <c r="F26" i="15"/>
  <c r="M26" i="15" s="1"/>
  <c r="P26" i="15" s="1" a="1"/>
  <c r="P26" i="15" s="1"/>
  <c r="F46" i="15"/>
  <c r="M46" i="15" s="1"/>
  <c r="P46" i="15" s="1" a="1"/>
  <c r="P46" i="15" s="1"/>
  <c r="AT27" i="15"/>
  <c r="BA27" i="15" s="1"/>
  <c r="BD27" i="15" s="1" a="1"/>
  <c r="BD27" i="15" s="1"/>
  <c r="Z19" i="15"/>
  <c r="AG19" i="15" s="1"/>
  <c r="AJ19" i="15" s="1" a="1"/>
  <c r="AJ19" i="15" s="1"/>
  <c r="AT20" i="15"/>
  <c r="BA20" i="15" s="1"/>
  <c r="BD20" i="15" s="1" a="1"/>
  <c r="BD20" i="15" s="1"/>
  <c r="F69" i="15"/>
  <c r="M69" i="15" s="1"/>
  <c r="P69" i="15" s="1" a="1"/>
  <c r="P69" i="15" s="1"/>
  <c r="F75" i="15"/>
  <c r="M75" i="15" s="1"/>
  <c r="P75" i="15" s="1" a="1"/>
  <c r="P75" i="15" s="1"/>
  <c r="F19" i="15"/>
  <c r="M19" i="15" s="1"/>
  <c r="P19" i="15" s="1" a="1"/>
  <c r="P19" i="15" s="1"/>
  <c r="F31" i="15"/>
  <c r="M31" i="15" s="1"/>
  <c r="P31" i="15" s="1" a="1"/>
  <c r="P31" i="15" s="1"/>
  <c r="F53" i="15"/>
  <c r="M53" i="15" s="1"/>
  <c r="P53" i="15" s="1" a="1"/>
  <c r="P53" i="15" s="1"/>
  <c r="AT34" i="15"/>
  <c r="BA34" i="15" s="1"/>
  <c r="BD34" i="15" s="1" a="1"/>
  <c r="BD34" i="15" s="1"/>
  <c r="F47" i="15"/>
  <c r="M47" i="15" s="1"/>
  <c r="P47" i="15" s="1" a="1"/>
  <c r="P47" i="15" s="1"/>
  <c r="F91" i="15"/>
  <c r="M91" i="15" s="1"/>
  <c r="P91" i="15" s="1" a="1"/>
  <c r="P91" i="15" s="1"/>
  <c r="F97" i="15"/>
  <c r="M97" i="15" s="1"/>
  <c r="P97" i="15" s="1" a="1"/>
  <c r="P97" i="15" s="1"/>
  <c r="F87" i="15"/>
  <c r="M87" i="15" s="1"/>
  <c r="P87" i="15" s="1" a="1"/>
  <c r="P87" i="15" s="1"/>
  <c r="F61" i="15"/>
  <c r="M61" i="15" s="1"/>
  <c r="P61" i="15" s="1" a="1"/>
  <c r="P61" i="15" s="1"/>
  <c r="F84" i="15"/>
  <c r="F119" i="15"/>
  <c r="M119" i="15" s="1"/>
  <c r="P119" i="15" s="1" a="1"/>
  <c r="P119" i="15" s="1"/>
  <c r="F37" i="15"/>
  <c r="F54" i="15"/>
  <c r="M54" i="15" s="1"/>
  <c r="P54" i="15" s="1" a="1"/>
  <c r="P54" i="15" s="1"/>
  <c r="F74" i="15"/>
  <c r="M74" i="15" s="1"/>
  <c r="P74" i="15" s="1" a="1"/>
  <c r="P74" i="15" s="1"/>
  <c r="BL28" i="15"/>
  <c r="BS28" i="15" s="1"/>
  <c r="BW28" i="15" s="1" a="1"/>
  <c r="BW28" i="15" s="1"/>
  <c r="D195" i="15"/>
  <c r="K195" i="15" s="1"/>
  <c r="O195" i="15" s="1" a="1"/>
  <c r="O195" i="15" s="1"/>
  <c r="D111" i="15"/>
  <c r="AR51" i="15"/>
  <c r="X42" i="15"/>
  <c r="D78" i="15"/>
  <c r="D42" i="15"/>
  <c r="X36" i="15"/>
  <c r="D34" i="15"/>
  <c r="AR20" i="15"/>
  <c r="D210" i="15"/>
  <c r="K210" i="15" s="1"/>
  <c r="O210" i="15" s="1" a="1"/>
  <c r="O210" i="15" s="1"/>
  <c r="D86" i="15"/>
  <c r="BL21" i="15"/>
  <c r="BT21" i="15" s="1"/>
  <c r="D102" i="15"/>
  <c r="AR49" i="15"/>
  <c r="D209" i="15"/>
  <c r="L209" i="15" s="1"/>
  <c r="D191" i="15"/>
  <c r="L191" i="15" s="1"/>
  <c r="D173" i="15"/>
  <c r="K173" i="15" s="1"/>
  <c r="O173" i="15" s="1" a="1"/>
  <c r="O173" i="15" s="1"/>
  <c r="D21" i="15"/>
  <c r="D95" i="15"/>
  <c r="D18" i="15"/>
  <c r="D133" i="15"/>
  <c r="D50" i="15"/>
  <c r="L50" i="15" s="1"/>
  <c r="D114" i="15"/>
  <c r="D157" i="15"/>
  <c r="X29" i="15"/>
  <c r="AR52" i="15"/>
  <c r="AR53" i="15"/>
  <c r="BL22" i="15"/>
  <c r="D89" i="15"/>
  <c r="AR32" i="15"/>
  <c r="D208" i="15"/>
  <c r="K208" i="15" s="1"/>
  <c r="O208" i="15" s="1" a="1"/>
  <c r="O208" i="15" s="1"/>
  <c r="D190" i="15"/>
  <c r="L190" i="15" s="1"/>
  <c r="D172" i="15"/>
  <c r="L172" i="15" s="1"/>
  <c r="D149" i="15"/>
  <c r="L149" i="15" s="1"/>
  <c r="D142" i="15"/>
  <c r="D125" i="15"/>
  <c r="D30" i="15"/>
  <c r="D65" i="15"/>
  <c r="D55" i="15"/>
  <c r="D26" i="15"/>
  <c r="X37" i="15"/>
  <c r="AR54" i="15"/>
  <c r="AR39" i="15"/>
  <c r="BL19" i="15"/>
  <c r="D74" i="15"/>
  <c r="AR47" i="15"/>
  <c r="AZ47" i="15" s="1"/>
  <c r="D207" i="15"/>
  <c r="L207" i="15" s="1"/>
  <c r="D189" i="15"/>
  <c r="K189" i="15" s="1"/>
  <c r="O189" i="15" s="1" a="1"/>
  <c r="O189" i="15" s="1"/>
  <c r="D171" i="15"/>
  <c r="K171" i="15" s="1"/>
  <c r="O171" i="15" s="1" a="1"/>
  <c r="O171" i="15" s="1"/>
  <c r="D152" i="15"/>
  <c r="D68" i="15"/>
  <c r="K68" i="15" s="1"/>
  <c r="D69" i="15"/>
  <c r="D100" i="15"/>
  <c r="L100" i="15" s="1"/>
  <c r="D57" i="15"/>
  <c r="D161" i="15"/>
  <c r="D93" i="15"/>
  <c r="X39" i="15"/>
  <c r="AR48" i="15"/>
  <c r="AY48" i="15" s="1"/>
  <c r="BC48" i="15" s="1" a="1"/>
  <c r="BC48" i="15" s="1"/>
  <c r="AR42" i="15"/>
  <c r="AR45" i="15"/>
  <c r="BL25" i="15"/>
  <c r="D110" i="15"/>
  <c r="K110" i="15" s="1"/>
  <c r="D192" i="15"/>
  <c r="L192" i="15" s="1"/>
  <c r="D25" i="15"/>
  <c r="AR37" i="15"/>
  <c r="D206" i="15"/>
  <c r="K206" i="15" s="1"/>
  <c r="O206" i="15" s="1" a="1"/>
  <c r="O206" i="15" s="1"/>
  <c r="D188" i="15"/>
  <c r="D170" i="15"/>
  <c r="L170" i="15" s="1"/>
  <c r="D75" i="15"/>
  <c r="D61" i="15"/>
  <c r="D76" i="15"/>
  <c r="D66" i="15"/>
  <c r="D29" i="15"/>
  <c r="D120" i="15"/>
  <c r="D158" i="15"/>
  <c r="X25" i="15"/>
  <c r="AR44" i="15"/>
  <c r="AR36" i="15"/>
  <c r="BL20" i="15"/>
  <c r="D92" i="15"/>
  <c r="D174" i="15"/>
  <c r="L174" i="15" s="1"/>
  <c r="D138" i="15"/>
  <c r="K138" i="15" s="1"/>
  <c r="AR55" i="15"/>
  <c r="D205" i="15"/>
  <c r="K205" i="15" s="1"/>
  <c r="O205" i="15" s="1" a="1"/>
  <c r="O205" i="15" s="1"/>
  <c r="D187" i="15"/>
  <c r="D169" i="15"/>
  <c r="L169" i="15" s="1"/>
  <c r="D147" i="15"/>
  <c r="D67" i="15"/>
  <c r="L67" i="15" s="1"/>
  <c r="D159" i="15"/>
  <c r="D62" i="15"/>
  <c r="L62" i="15" s="1"/>
  <c r="D91" i="15"/>
  <c r="X52" i="15"/>
  <c r="AE52" i="15" s="1"/>
  <c r="AI52" i="15" s="1" a="1"/>
  <c r="AI52" i="15" s="1"/>
  <c r="X30" i="15"/>
  <c r="AR58" i="15"/>
  <c r="AZ58" i="15" s="1"/>
  <c r="AR38" i="15"/>
  <c r="BL24" i="15"/>
  <c r="BT24" i="15" s="1"/>
  <c r="D127" i="15"/>
  <c r="X32" i="15"/>
  <c r="AR41" i="15"/>
  <c r="D204" i="15"/>
  <c r="K204" i="15" s="1"/>
  <c r="O204" i="15" s="1" a="1"/>
  <c r="O204" i="15" s="1"/>
  <c r="D186" i="15"/>
  <c r="D168" i="15"/>
  <c r="K168" i="15" s="1"/>
  <c r="O168" i="15" s="1" a="1"/>
  <c r="O168" i="15" s="1"/>
  <c r="D31" i="15"/>
  <c r="D46" i="15"/>
  <c r="D59" i="15"/>
  <c r="L59" i="15" s="1"/>
  <c r="D124" i="15"/>
  <c r="D81" i="15"/>
  <c r="D118" i="15"/>
  <c r="L118" i="15" s="1"/>
  <c r="X51" i="15"/>
  <c r="AF51" i="15" s="1"/>
  <c r="X34" i="15"/>
  <c r="AR35" i="15"/>
  <c r="AR50" i="15"/>
  <c r="D73" i="15"/>
  <c r="BL18" i="15"/>
  <c r="D97" i="15"/>
  <c r="D129" i="15"/>
  <c r="AR28" i="15"/>
  <c r="D47" i="15"/>
  <c r="X49" i="15"/>
  <c r="AR62" i="15"/>
  <c r="AZ62" i="15" s="1"/>
  <c r="D38" i="15"/>
  <c r="D33" i="15"/>
  <c r="AR65" i="15"/>
  <c r="D155" i="15"/>
  <c r="K155" i="15" s="1"/>
  <c r="O155" i="15" s="1" a="1"/>
  <c r="O155" i="15" s="1"/>
  <c r="AR64" i="15"/>
  <c r="D160" i="15"/>
  <c r="D39" i="15"/>
  <c r="D27" i="15"/>
  <c r="AR63" i="15"/>
  <c r="AZ63" i="15" s="1"/>
  <c r="D85" i="15"/>
  <c r="D45" i="15"/>
  <c r="D185" i="15"/>
  <c r="K185" i="15" s="1"/>
  <c r="O185" i="15" s="1" a="1"/>
  <c r="O185" i="15" s="1"/>
  <c r="D108" i="15"/>
  <c r="X46" i="15"/>
  <c r="D109" i="15"/>
  <c r="D184" i="15"/>
  <c r="L184" i="15" s="1"/>
  <c r="D123" i="15"/>
  <c r="D84" i="15"/>
  <c r="D20" i="15"/>
  <c r="D201" i="15"/>
  <c r="L201" i="15" s="1"/>
  <c r="D28" i="15"/>
  <c r="L28" i="15" s="1"/>
  <c r="X40" i="15"/>
  <c r="AF40" i="15" s="1"/>
  <c r="AR29" i="15"/>
  <c r="D94" i="15"/>
  <c r="D113" i="15"/>
  <c r="L113" i="15" s="1"/>
  <c r="D106" i="15"/>
  <c r="AR70" i="15"/>
  <c r="AY70" i="15" s="1"/>
  <c r="BC70" i="15" s="1" a="1"/>
  <c r="BC70" i="15" s="1"/>
  <c r="D135" i="15"/>
  <c r="X41" i="15"/>
  <c r="D150" i="15"/>
  <c r="D199" i="15"/>
  <c r="K199" i="15" s="1"/>
  <c r="O199" i="15" s="1" a="1"/>
  <c r="O199" i="15" s="1"/>
  <c r="D181" i="15"/>
  <c r="L181" i="15" s="1"/>
  <c r="D130" i="15"/>
  <c r="D90" i="15"/>
  <c r="D54" i="15"/>
  <c r="D58" i="15"/>
  <c r="D99" i="15"/>
  <c r="D136" i="15"/>
  <c r="D23" i="15"/>
  <c r="X47" i="15"/>
  <c r="AR69" i="15"/>
  <c r="AZ69" i="15" s="1"/>
  <c r="AR25" i="15"/>
  <c r="AR31" i="15"/>
  <c r="X43" i="15"/>
  <c r="X19" i="15"/>
  <c r="D212" i="15"/>
  <c r="K212" i="15" s="1"/>
  <c r="O212" i="15" s="1" a="1"/>
  <c r="O212" i="15" s="1"/>
  <c r="D82" i="15"/>
  <c r="AR59" i="15"/>
  <c r="D211" i="15"/>
  <c r="L211" i="15" s="1"/>
  <c r="D115" i="15"/>
  <c r="X26" i="15"/>
  <c r="D60" i="15"/>
  <c r="D140" i="15"/>
  <c r="X24" i="15"/>
  <c r="D167" i="15"/>
  <c r="L167" i="15" s="1"/>
  <c r="D116" i="15"/>
  <c r="X50" i="15"/>
  <c r="AE50" i="15" s="1"/>
  <c r="AI50" i="15" s="1" a="1"/>
  <c r="AI50" i="15" s="1"/>
  <c r="AR21" i="15"/>
  <c r="D166" i="15"/>
  <c r="K166" i="15" s="1"/>
  <c r="O166" i="15" s="1" a="1"/>
  <c r="O166" i="15" s="1"/>
  <c r="D156" i="15"/>
  <c r="X31" i="15"/>
  <c r="AE31" i="15" s="1"/>
  <c r="AI31" i="15" s="1" a="1"/>
  <c r="AI31" i="15" s="1"/>
  <c r="AR34" i="15"/>
  <c r="D165" i="15"/>
  <c r="K165" i="15" s="1"/>
  <c r="O165" i="15" s="1" a="1"/>
  <c r="O165" i="15" s="1"/>
  <c r="D51" i="15"/>
  <c r="AR71" i="15"/>
  <c r="AY71" i="15" s="1"/>
  <c r="BC71" i="15" s="1" a="1"/>
  <c r="BC71" i="15" s="1"/>
  <c r="X18" i="15"/>
  <c r="D182" i="15"/>
  <c r="K182" i="15" s="1"/>
  <c r="O182" i="15" s="1" a="1"/>
  <c r="O182" i="15" s="1"/>
  <c r="D32" i="15"/>
  <c r="D141" i="15"/>
  <c r="X44" i="15"/>
  <c r="AR22" i="15"/>
  <c r="D43" i="15"/>
  <c r="X33" i="15"/>
  <c r="D52" i="15"/>
  <c r="L52" i="15" s="1"/>
  <c r="D198" i="15"/>
  <c r="L198" i="15" s="1"/>
  <c r="D180" i="15"/>
  <c r="L180" i="15" s="1"/>
  <c r="D96" i="15"/>
  <c r="L96" i="15" s="1"/>
  <c r="D22" i="15"/>
  <c r="D41" i="15"/>
  <c r="D162" i="15"/>
  <c r="D112" i="15"/>
  <c r="D128" i="15"/>
  <c r="D126" i="15"/>
  <c r="X27" i="15"/>
  <c r="AR68" i="15"/>
  <c r="AZ68" i="15" s="1"/>
  <c r="AR40" i="15"/>
  <c r="AR61" i="15"/>
  <c r="D146" i="15"/>
  <c r="K146" i="15" s="1"/>
  <c r="O146" i="15" s="1" a="1"/>
  <c r="O146" i="15" s="1"/>
  <c r="D80" i="15"/>
  <c r="BL27" i="15"/>
  <c r="BT27" i="15" s="1"/>
  <c r="D137" i="15"/>
  <c r="D176" i="15"/>
  <c r="L176" i="15" s="1"/>
  <c r="D131" i="15"/>
  <c r="K131" i="15" s="1"/>
  <c r="D143" i="15"/>
  <c r="BL26" i="15"/>
  <c r="BS26" i="15" s="1"/>
  <c r="BW26" i="15" s="1" a="1"/>
  <c r="BW26" i="15" s="1"/>
  <c r="D175" i="15"/>
  <c r="L175" i="15" s="1"/>
  <c r="D53" i="15"/>
  <c r="BL23" i="15"/>
  <c r="BS23" i="15" s="1"/>
  <c r="BW23" i="15" s="1" a="1"/>
  <c r="BW23" i="15" s="1"/>
  <c r="X35" i="15"/>
  <c r="D64" i="15"/>
  <c r="AR30" i="15"/>
  <c r="AR33" i="15"/>
  <c r="D72" i="15"/>
  <c r="D40" i="15"/>
  <c r="AR57" i="15"/>
  <c r="D202" i="15"/>
  <c r="D87" i="15"/>
  <c r="X22" i="15"/>
  <c r="D183" i="15"/>
  <c r="K183" i="15" s="1"/>
  <c r="O183" i="15" s="1" a="1"/>
  <c r="O183" i="15" s="1"/>
  <c r="D88" i="15"/>
  <c r="D121" i="15"/>
  <c r="AR56" i="15"/>
  <c r="D49" i="15"/>
  <c r="D200" i="15"/>
  <c r="K200" i="15" s="1"/>
  <c r="O200" i="15" s="1" a="1"/>
  <c r="O200" i="15" s="1"/>
  <c r="D145" i="15"/>
  <c r="L145" i="15" s="1"/>
  <c r="D19" i="15"/>
  <c r="AR27" i="15"/>
  <c r="D63" i="15"/>
  <c r="X38" i="15"/>
  <c r="AF38" i="15" s="1"/>
  <c r="D132" i="15"/>
  <c r="D197" i="15"/>
  <c r="L197" i="15" s="1"/>
  <c r="D179" i="15"/>
  <c r="K179" i="15" s="1"/>
  <c r="O179" i="15" s="1" a="1"/>
  <c r="O179" i="15" s="1"/>
  <c r="D24" i="15"/>
  <c r="K24" i="15" s="1"/>
  <c r="O24" i="15" s="1" a="1"/>
  <c r="O24" i="15" s="1"/>
  <c r="D98" i="15"/>
  <c r="D70" i="15"/>
  <c r="D134" i="15"/>
  <c r="K134" i="15" s="1"/>
  <c r="D117" i="15"/>
  <c r="D148" i="15"/>
  <c r="D44" i="15"/>
  <c r="X20" i="15"/>
  <c r="AF20" i="15" s="1"/>
  <c r="AR67" i="15"/>
  <c r="AZ67" i="15" s="1"/>
  <c r="AR24" i="15"/>
  <c r="AR46" i="15"/>
  <c r="D177" i="15"/>
  <c r="L177" i="15" s="1"/>
  <c r="D36" i="15"/>
  <c r="AR60" i="15"/>
  <c r="D194" i="15"/>
  <c r="L194" i="15" s="1"/>
  <c r="D71" i="15"/>
  <c r="X21" i="15"/>
  <c r="D193" i="15"/>
  <c r="K193" i="15" s="1"/>
  <c r="O193" i="15" s="1" a="1"/>
  <c r="O193" i="15" s="1"/>
  <c r="D164" i="15"/>
  <c r="D35" i="15"/>
  <c r="D163" i="15"/>
  <c r="L163" i="15" s="1"/>
  <c r="AR18" i="15"/>
  <c r="D203" i="15"/>
  <c r="K203" i="15" s="1"/>
  <c r="O203" i="15" s="1" a="1"/>
  <c r="O203" i="15" s="1"/>
  <c r="D101" i="15"/>
  <c r="L101" i="15" s="1"/>
  <c r="D154" i="15"/>
  <c r="AR43" i="15"/>
  <c r="X28" i="15"/>
  <c r="D119" i="15"/>
  <c r="AR26" i="15"/>
  <c r="X23" i="15"/>
  <c r="D153" i="15"/>
  <c r="L153" i="15" s="1"/>
  <c r="D103" i="15"/>
  <c r="D144" i="15"/>
  <c r="X45" i="15"/>
  <c r="D151" i="15"/>
  <c r="D196" i="15"/>
  <c r="K196" i="15" s="1"/>
  <c r="O196" i="15" s="1" a="1"/>
  <c r="O196" i="15" s="1"/>
  <c r="D178" i="15"/>
  <c r="L178" i="15" s="1"/>
  <c r="D37" i="15"/>
  <c r="D107" i="15"/>
  <c r="D79" i="15"/>
  <c r="D122" i="15"/>
  <c r="L122" i="15" s="1"/>
  <c r="D77" i="15"/>
  <c r="D56" i="15"/>
  <c r="D139" i="15"/>
  <c r="X48" i="15"/>
  <c r="AR66" i="15"/>
  <c r="AZ66" i="15" s="1"/>
  <c r="AR19" i="15"/>
  <c r="AR23" i="15"/>
  <c r="AQ28" i="15"/>
  <c r="W35" i="15"/>
  <c r="C72" i="15"/>
  <c r="W44" i="15"/>
  <c r="C61" i="15"/>
  <c r="C38" i="15"/>
  <c r="C95" i="15"/>
  <c r="C33" i="15"/>
  <c r="AP25" i="15"/>
  <c r="V44" i="15"/>
  <c r="B74" i="15"/>
  <c r="B95" i="15"/>
  <c r="B75" i="15"/>
  <c r="AW53" i="15"/>
  <c r="BE53" i="15" s="1"/>
  <c r="AW21" i="15"/>
  <c r="BE21" i="15" s="1"/>
  <c r="BQ20" i="15"/>
  <c r="BV20" i="15" s="1"/>
  <c r="AW57" i="15"/>
  <c r="BE57" i="15" s="1"/>
  <c r="AW43" i="15"/>
  <c r="BB43" i="15" s="1"/>
  <c r="H62" i="15"/>
  <c r="M62" i="15" s="1"/>
  <c r="P62" i="15" s="1" a="1"/>
  <c r="P62" i="15" s="1"/>
  <c r="H84" i="15"/>
  <c r="H42" i="15"/>
  <c r="M42" i="15" s="1"/>
  <c r="P42" i="15" s="1" a="1"/>
  <c r="P42" i="15" s="1"/>
  <c r="H28" i="15"/>
  <c r="AP19" i="15"/>
  <c r="AP37" i="15"/>
  <c r="Z39" i="15"/>
  <c r="AG39" i="15" s="1"/>
  <c r="AJ39" i="15" s="1" a="1"/>
  <c r="AJ39" i="15" s="1"/>
  <c r="AT25" i="15"/>
  <c r="B123" i="15"/>
  <c r="F159" i="15"/>
  <c r="M159" i="15" s="1"/>
  <c r="P159" i="15" s="1" a="1"/>
  <c r="P159" i="15" s="1"/>
  <c r="Z21" i="15"/>
  <c r="AG21" i="15" s="1"/>
  <c r="AJ21" i="15" s="1" a="1"/>
  <c r="AJ21" i="15" s="1"/>
  <c r="W24" i="15"/>
  <c r="AT47" i="15"/>
  <c r="BA47" i="15" s="1"/>
  <c r="BD47" i="15" s="1" a="1"/>
  <c r="BD47" i="15" s="1"/>
  <c r="AP23" i="15"/>
  <c r="B54" i="15"/>
  <c r="C119" i="15"/>
  <c r="Z24" i="15"/>
  <c r="AG24" i="15" s="1"/>
  <c r="AJ24" i="15" s="1" a="1"/>
  <c r="AJ24" i="15" s="1"/>
  <c r="Z34" i="15"/>
  <c r="AG34" i="15" s="1"/>
  <c r="AJ34" i="15" s="1" a="1"/>
  <c r="AJ34" i="15" s="1"/>
  <c r="F70" i="15"/>
  <c r="M70" i="15" s="1"/>
  <c r="P70" i="15" s="1" a="1"/>
  <c r="P70" i="15" s="1"/>
  <c r="F102" i="15"/>
  <c r="M102" i="15" s="1"/>
  <c r="P102" i="15" s="1" a="1"/>
  <c r="P102" i="15" s="1"/>
  <c r="W36" i="15"/>
  <c r="F109" i="15"/>
  <c r="M109" i="15" s="1"/>
  <c r="P109" i="15" s="1" a="1"/>
  <c r="P109" i="15" s="1"/>
  <c r="V46" i="15"/>
  <c r="Z27" i="15"/>
  <c r="AG27" i="15" s="1"/>
  <c r="AJ27" i="15" s="1" a="1"/>
  <c r="AJ27" i="15" s="1"/>
  <c r="Z42" i="15"/>
  <c r="AG42" i="15" s="1"/>
  <c r="AJ42" i="15" s="1" a="1"/>
  <c r="AJ42" i="15" s="1"/>
  <c r="AT18" i="15"/>
  <c r="BA18" i="15" s="1"/>
  <c r="BD18" i="15" s="1" a="1"/>
  <c r="BD18" i="15" s="1"/>
  <c r="F115" i="15"/>
  <c r="M115" i="15" s="1"/>
  <c r="P115" i="15" s="1" a="1"/>
  <c r="P115" i="15" s="1"/>
  <c r="C160" i="15"/>
  <c r="F38" i="15"/>
  <c r="M38" i="15" s="1"/>
  <c r="P38" i="15" s="1" a="1"/>
  <c r="P38" i="15" s="1"/>
  <c r="Z32" i="15"/>
  <c r="AG32" i="15" s="1"/>
  <c r="AJ32" i="15" s="1" a="1"/>
  <c r="AJ32" i="15" s="1"/>
  <c r="C164" i="15"/>
  <c r="W18" i="15"/>
  <c r="W47" i="15"/>
  <c r="V45" i="15"/>
  <c r="C21" i="15"/>
  <c r="F137" i="15"/>
  <c r="M137" i="15" s="1"/>
  <c r="P137" i="15" s="1" a="1"/>
  <c r="P137" i="15" s="1"/>
  <c r="Z33" i="15"/>
  <c r="AG33" i="15" s="1"/>
  <c r="AJ33" i="15" s="1" a="1"/>
  <c r="AJ33" i="15" s="1"/>
  <c r="B160" i="15"/>
  <c r="F59" i="15"/>
  <c r="M59" i="15" s="1"/>
  <c r="P59" i="15" s="1" a="1"/>
  <c r="P59" i="15" s="1"/>
  <c r="Z45" i="15"/>
  <c r="AG45" i="15" s="1"/>
  <c r="AJ45" i="15" s="1" a="1"/>
  <c r="AJ45" i="15" s="1"/>
  <c r="AT49" i="15"/>
  <c r="BA49" i="15" s="1"/>
  <c r="BD49" i="15" s="1" a="1"/>
  <c r="BD49" i="15" s="1"/>
  <c r="AT36" i="15"/>
  <c r="BA36" i="15" s="1"/>
  <c r="BD36" i="15" s="1" a="1"/>
  <c r="BD36" i="15" s="1"/>
  <c r="AQ32" i="15"/>
  <c r="AT40" i="15"/>
  <c r="BA40" i="15" s="1"/>
  <c r="BD40" i="15" s="1" a="1"/>
  <c r="BD40" i="15" s="1"/>
  <c r="V43" i="15"/>
  <c r="B49" i="15"/>
  <c r="AT29" i="15"/>
  <c r="BA29" i="15" s="1"/>
  <c r="BD29" i="15" s="1" a="1"/>
  <c r="BD29" i="15" s="1"/>
  <c r="F63" i="15"/>
  <c r="M63" i="15" s="1"/>
  <c r="P63" i="15" s="1" a="1"/>
  <c r="P63" i="15" s="1"/>
  <c r="F58" i="15"/>
  <c r="M58" i="15" s="1"/>
  <c r="P58" i="15" s="1" a="1"/>
  <c r="P58" i="15" s="1"/>
  <c r="F127" i="15"/>
  <c r="M127" i="15" s="1"/>
  <c r="P127" i="15" s="1" a="1"/>
  <c r="P127" i="15" s="1"/>
  <c r="C115" i="15"/>
  <c r="F121" i="15"/>
  <c r="M121" i="15" s="1"/>
  <c r="P121" i="15" s="1" a="1"/>
  <c r="P121" i="15" s="1"/>
  <c r="Z26" i="15"/>
  <c r="AG26" i="15" s="1"/>
  <c r="AJ26" i="15" s="1" a="1"/>
  <c r="AJ26" i="15" s="1"/>
  <c r="F144" i="15"/>
  <c r="M144" i="15" s="1"/>
  <c r="P144" i="15" s="1" a="1"/>
  <c r="P144" i="15" s="1"/>
  <c r="F52" i="15"/>
  <c r="M52" i="15" s="1"/>
  <c r="P52" i="15" s="1" a="1"/>
  <c r="P52" i="15" s="1"/>
  <c r="F164" i="15"/>
  <c r="M164" i="15" s="1"/>
  <c r="P164" i="15" s="1" a="1"/>
  <c r="P164" i="15" s="1"/>
  <c r="B142" i="15"/>
  <c r="AP43" i="15"/>
  <c r="B106" i="15"/>
  <c r="AT39" i="15"/>
  <c r="BA39" i="15" s="1"/>
  <c r="BD39" i="15" s="1" a="1"/>
  <c r="BD39" i="15" s="1"/>
  <c r="F153" i="15"/>
  <c r="F150" i="15"/>
  <c r="M150" i="15" s="1"/>
  <c r="P150" i="15" s="1" a="1"/>
  <c r="P150" i="15" s="1"/>
  <c r="Z28" i="15"/>
  <c r="AG28" i="15" s="1"/>
  <c r="AJ28" i="15" s="1" a="1"/>
  <c r="AJ28" i="15" s="1"/>
  <c r="AT31" i="15"/>
  <c r="BA31" i="15" s="1"/>
  <c r="BD31" i="15" s="1" a="1"/>
  <c r="BD31" i="15" s="1"/>
  <c r="B86" i="15"/>
  <c r="B69" i="15"/>
  <c r="Z43" i="15"/>
  <c r="AG43" i="15" s="1"/>
  <c r="AJ43" i="15" s="1" a="1"/>
  <c r="AJ43" i="15" s="1"/>
  <c r="F123" i="15"/>
  <c r="M123" i="15" s="1"/>
  <c r="P123" i="15" s="1" a="1"/>
  <c r="P123" i="15" s="1"/>
  <c r="F89" i="15"/>
  <c r="M89" i="15" s="1"/>
  <c r="P89" i="15" s="1" a="1"/>
  <c r="P89" i="15" s="1"/>
  <c r="F44" i="15"/>
  <c r="M44" i="15" s="1"/>
  <c r="P44" i="15" s="1" a="1"/>
  <c r="P44" i="15" s="1"/>
  <c r="F29" i="15"/>
  <c r="M29" i="15" s="1"/>
  <c r="P29" i="15" s="1" a="1"/>
  <c r="P29" i="15" s="1"/>
  <c r="AT46" i="15"/>
  <c r="BA46" i="15" s="1"/>
  <c r="BD46" i="15" s="1" a="1"/>
  <c r="BD46" i="15" s="1"/>
  <c r="AT32" i="15"/>
  <c r="BA32" i="15" s="1"/>
  <c r="BD32" i="15" s="1" a="1"/>
  <c r="BD32" i="15" s="1"/>
  <c r="B159" i="15"/>
  <c r="C86" i="15"/>
  <c r="F132" i="15"/>
  <c r="M132" i="15" s="1"/>
  <c r="P132" i="15" s="1" a="1"/>
  <c r="P132" i="15" s="1"/>
  <c r="Z38" i="15"/>
  <c r="AG38" i="15" s="1"/>
  <c r="AJ38" i="15" s="1" a="1"/>
  <c r="AJ38" i="15" s="1"/>
  <c r="AT37" i="15"/>
  <c r="BA37" i="15" s="1"/>
  <c r="BD37" i="15" s="1" a="1"/>
  <c r="BD37" i="15" s="1"/>
  <c r="C45" i="15"/>
  <c r="C43" i="15"/>
  <c r="Z36" i="15"/>
  <c r="AG36" i="15" s="1"/>
  <c r="AJ36" i="15" s="1" a="1"/>
  <c r="AJ36" i="15" s="1"/>
  <c r="AT24" i="15"/>
  <c r="BA24" i="15" s="1"/>
  <c r="BD24" i="15" s="1" a="1"/>
  <c r="BD24" i="15" s="1"/>
  <c r="C70" i="15"/>
  <c r="F92" i="15"/>
  <c r="M92" i="15" s="1"/>
  <c r="P92" i="15" s="1" a="1"/>
  <c r="P92" i="15" s="1"/>
  <c r="BY18" i="15"/>
  <c r="BY23" i="15"/>
  <c r="BV25" i="15"/>
  <c r="BY22" i="15"/>
  <c r="W39" i="15"/>
  <c r="C20" i="15"/>
  <c r="C121" i="15"/>
  <c r="AQ36" i="15"/>
  <c r="C55" i="15"/>
  <c r="C78" i="15"/>
  <c r="W25" i="15"/>
  <c r="AQ29" i="15"/>
  <c r="AQ26" i="15"/>
  <c r="C150" i="15"/>
  <c r="C93" i="15"/>
  <c r="C60" i="15"/>
  <c r="C98" i="15"/>
  <c r="BK18" i="15"/>
  <c r="AQ40" i="15"/>
  <c r="C97" i="15"/>
  <c r="C22" i="15"/>
  <c r="C151" i="15"/>
  <c r="C64" i="15"/>
  <c r="W46" i="15"/>
  <c r="AQ55" i="15"/>
  <c r="BK20" i="15"/>
  <c r="BK25" i="15"/>
  <c r="BK19" i="15"/>
  <c r="C144" i="15"/>
  <c r="C162" i="15"/>
  <c r="C102" i="15"/>
  <c r="AQ34" i="15"/>
  <c r="AQ44" i="15"/>
  <c r="AQ52" i="15"/>
  <c r="AQ22" i="15"/>
  <c r="AQ35" i="15"/>
  <c r="W41" i="15"/>
  <c r="W34" i="15"/>
  <c r="W42" i="15"/>
  <c r="W49" i="15"/>
  <c r="W27" i="15"/>
  <c r="C129" i="15"/>
  <c r="C124" i="15"/>
  <c r="C152" i="15"/>
  <c r="C147" i="15"/>
  <c r="C90" i="15"/>
  <c r="C32" i="15"/>
  <c r="C63" i="15"/>
  <c r="C156" i="15"/>
  <c r="C54" i="15"/>
  <c r="C130" i="15"/>
  <c r="BV19" i="15"/>
  <c r="BY24" i="15"/>
  <c r="V25" i="15"/>
  <c r="B162" i="15"/>
  <c r="B79" i="15"/>
  <c r="B45" i="15"/>
  <c r="B63" i="15"/>
  <c r="B22" i="15"/>
  <c r="B44" i="15"/>
  <c r="B125" i="15"/>
  <c r="B91" i="15"/>
  <c r="B103" i="15"/>
  <c r="B108" i="15"/>
  <c r="B147" i="15"/>
  <c r="B156" i="15"/>
  <c r="B130" i="15"/>
  <c r="B152" i="15"/>
  <c r="B144" i="15"/>
  <c r="V47" i="15"/>
  <c r="B64" i="15"/>
  <c r="B77" i="15"/>
  <c r="B60" i="15"/>
  <c r="V42" i="15"/>
  <c r="AP28" i="15"/>
  <c r="B29" i="15"/>
  <c r="B141" i="15"/>
  <c r="AP54" i="15"/>
  <c r="AY54" i="15" s="1"/>
  <c r="BC54" i="15" s="1" a="1"/>
  <c r="BC54" i="15" s="1"/>
  <c r="B33" i="15"/>
  <c r="B43" i="15"/>
  <c r="B151" i="15"/>
  <c r="AP18" i="15"/>
  <c r="B46" i="15"/>
  <c r="BA62" i="15"/>
  <c r="BD62" i="15" s="1" a="1"/>
  <c r="BD62" i="15" s="1"/>
  <c r="BY21" i="15"/>
  <c r="BY28" i="15"/>
  <c r="BY27" i="15"/>
  <c r="BY26" i="15"/>
  <c r="BE36" i="15"/>
  <c r="BV24" i="15"/>
  <c r="BU24" i="15"/>
  <c r="BX24" i="15" s="1" a="1"/>
  <c r="BX24" i="15" s="1"/>
  <c r="BU20" i="15"/>
  <c r="BX20" i="15" s="1" a="1"/>
  <c r="BX20" i="15" s="1"/>
  <c r="BY19" i="15"/>
  <c r="BY25" i="15"/>
  <c r="BV18" i="15"/>
  <c r="BU18" i="15"/>
  <c r="BX18" i="15" s="1" a="1"/>
  <c r="BX18" i="15" s="1"/>
  <c r="BU19" i="15"/>
  <c r="BX19" i="15" s="1" a="1"/>
  <c r="BX19" i="15" s="1"/>
  <c r="BU25" i="15"/>
  <c r="BX25" i="15" s="1" a="1"/>
  <c r="BX25" i="15" s="1"/>
  <c r="BB37" i="15"/>
  <c r="BE39" i="15"/>
  <c r="BE20" i="15"/>
  <c r="BB48" i="15"/>
  <c r="BB60" i="15"/>
  <c r="BE41" i="15"/>
  <c r="Q47" i="15"/>
  <c r="Q40" i="15"/>
  <c r="Q201" i="15"/>
  <c r="Q165" i="15"/>
  <c r="Q162" i="15"/>
  <c r="Q49" i="15"/>
  <c r="Q183" i="15"/>
  <c r="Q212" i="15"/>
  <c r="Q209" i="15"/>
  <c r="W33" i="15"/>
  <c r="B87" i="15"/>
  <c r="V18" i="15"/>
  <c r="C91" i="15"/>
  <c r="C161" i="15"/>
  <c r="B40" i="15"/>
  <c r="C42" i="15"/>
  <c r="C128" i="15"/>
  <c r="B53" i="15"/>
  <c r="AP41" i="15"/>
  <c r="C65" i="15"/>
  <c r="C85" i="15"/>
  <c r="C109" i="15"/>
  <c r="C30" i="15"/>
  <c r="AQ31" i="15"/>
  <c r="AQ39" i="15"/>
  <c r="B150" i="15"/>
  <c r="B84" i="15"/>
  <c r="C112" i="15"/>
  <c r="C23" i="15"/>
  <c r="B99" i="15"/>
  <c r="C73" i="15"/>
  <c r="C82" i="15"/>
  <c r="W30" i="15"/>
  <c r="AQ37" i="15"/>
  <c r="C141" i="15"/>
  <c r="C132" i="15"/>
  <c r="C71" i="15"/>
  <c r="B139" i="15"/>
  <c r="AQ60" i="15"/>
  <c r="C114" i="15"/>
  <c r="B124" i="15"/>
  <c r="C56" i="15"/>
  <c r="C34" i="15"/>
  <c r="B136" i="15"/>
  <c r="B89" i="15"/>
  <c r="C19" i="15"/>
  <c r="AQ49" i="15"/>
  <c r="B121" i="15"/>
  <c r="AQ50" i="15"/>
  <c r="AQ33" i="15"/>
  <c r="C159" i="15"/>
  <c r="B120" i="15"/>
  <c r="V29" i="15"/>
  <c r="C154" i="15"/>
  <c r="C81" i="15"/>
  <c r="AP59" i="15"/>
  <c r="AQ23" i="15"/>
  <c r="B51" i="15"/>
  <c r="BA70" i="15"/>
  <c r="BD70" i="15" s="1" a="1"/>
  <c r="BD70" i="15" s="1"/>
  <c r="B128" i="15"/>
  <c r="W43" i="15"/>
  <c r="AQ46" i="15"/>
  <c r="C140" i="15"/>
  <c r="C135" i="15"/>
  <c r="BE68" i="15"/>
  <c r="BE63" i="15"/>
  <c r="BE33" i="15"/>
  <c r="BE52" i="15"/>
  <c r="BE32" i="15"/>
  <c r="AH22" i="15"/>
  <c r="Q155" i="15"/>
  <c r="Q98" i="15"/>
  <c r="Q116" i="15"/>
  <c r="Q59" i="15"/>
  <c r="Q140" i="15"/>
  <c r="AK25" i="15"/>
  <c r="Q192" i="15"/>
  <c r="AK42" i="15"/>
  <c r="AK31" i="15"/>
  <c r="Q103" i="15"/>
  <c r="AQ38" i="15"/>
  <c r="W48" i="15"/>
  <c r="Q53" i="15"/>
  <c r="C27" i="15"/>
  <c r="C49" i="15"/>
  <c r="C92" i="15"/>
  <c r="C108" i="15"/>
  <c r="N120" i="15"/>
  <c r="Q111" i="15"/>
  <c r="C35" i="15"/>
  <c r="AQ30" i="15"/>
  <c r="C84" i="15"/>
  <c r="W37" i="15"/>
  <c r="AK50" i="15"/>
  <c r="AK35" i="15"/>
  <c r="C36" i="15"/>
  <c r="Q154" i="15"/>
  <c r="Q57" i="15"/>
  <c r="Q144" i="15"/>
  <c r="AK40" i="15"/>
  <c r="AK48" i="15"/>
  <c r="AG22" i="15"/>
  <c r="AJ22" i="15" s="1" a="1"/>
  <c r="AJ22" i="15" s="1"/>
  <c r="Q131" i="15"/>
  <c r="C94" i="15"/>
  <c r="Q191" i="15"/>
  <c r="AK43" i="15"/>
  <c r="AQ51" i="15"/>
  <c r="W19" i="15"/>
  <c r="C80" i="15"/>
  <c r="C133" i="15"/>
  <c r="C116" i="15"/>
  <c r="W22" i="15"/>
  <c r="C157" i="15"/>
  <c r="C89" i="15"/>
  <c r="C117" i="15"/>
  <c r="C127" i="15"/>
  <c r="W21" i="15"/>
  <c r="W26" i="15"/>
  <c r="C111" i="15"/>
  <c r="W32" i="15"/>
  <c r="AQ53" i="15"/>
  <c r="C44" i="15"/>
  <c r="AQ57" i="15"/>
  <c r="C66" i="15"/>
  <c r="C53" i="15"/>
  <c r="W23" i="15"/>
  <c r="C103" i="15"/>
  <c r="C40" i="15"/>
  <c r="C76" i="15"/>
  <c r="AQ27" i="15"/>
  <c r="N169" i="15"/>
  <c r="Q46" i="15"/>
  <c r="Q52" i="15"/>
  <c r="BB69" i="15"/>
  <c r="M20" i="15"/>
  <c r="P20" i="15" s="1" a="1"/>
  <c r="P20" i="15" s="1"/>
  <c r="Q150" i="15"/>
  <c r="Q107" i="15"/>
  <c r="Q186" i="15"/>
  <c r="AK28" i="15"/>
  <c r="AK49" i="15"/>
  <c r="AK33" i="15"/>
  <c r="AK18" i="15"/>
  <c r="AK23" i="15"/>
  <c r="AK24" i="15"/>
  <c r="Q50" i="15"/>
  <c r="Q82" i="15"/>
  <c r="Q34" i="15"/>
  <c r="Q119" i="15"/>
  <c r="Q175" i="15"/>
  <c r="Q138" i="15"/>
  <c r="Q85" i="15"/>
  <c r="Q205" i="15"/>
  <c r="Q64" i="15"/>
  <c r="Q27" i="15"/>
  <c r="Q43" i="15"/>
  <c r="Q74" i="15"/>
  <c r="Q92" i="15"/>
  <c r="Q134" i="15"/>
  <c r="Q132" i="15"/>
  <c r="Q87" i="15"/>
  <c r="Q167" i="15"/>
  <c r="Q58" i="15"/>
  <c r="Q170" i="15"/>
  <c r="Q117" i="15"/>
  <c r="Q133" i="15"/>
  <c r="N22" i="15"/>
  <c r="Q151" i="15"/>
  <c r="Q18" i="15"/>
  <c r="N208" i="15"/>
  <c r="N61" i="15"/>
  <c r="N94" i="15"/>
  <c r="Q152" i="15"/>
  <c r="Q32" i="15"/>
  <c r="Q106" i="15"/>
  <c r="N176" i="15"/>
  <c r="Q137" i="15"/>
  <c r="Q67" i="15"/>
  <c r="Q203" i="15"/>
  <c r="Q68" i="15"/>
  <c r="Q42" i="15"/>
  <c r="BE51" i="15"/>
  <c r="BE27" i="15"/>
  <c r="BE34" i="15"/>
  <c r="BB65" i="15"/>
  <c r="BE64" i="15"/>
  <c r="BE67" i="15"/>
  <c r="BE61" i="15"/>
  <c r="BB18" i="15"/>
  <c r="BB45" i="15"/>
  <c r="BB49" i="15"/>
  <c r="AK36" i="15"/>
  <c r="AK52" i="15"/>
  <c r="AK47" i="15"/>
  <c r="AK45" i="15"/>
  <c r="AK20" i="15"/>
  <c r="AK37" i="15"/>
  <c r="Q190" i="15"/>
  <c r="Q109" i="15"/>
  <c r="Q153" i="15"/>
  <c r="Q163" i="15"/>
  <c r="Q99" i="15"/>
  <c r="Q172" i="15"/>
  <c r="Q31" i="15"/>
  <c r="N196" i="15"/>
  <c r="N101" i="15"/>
  <c r="N141" i="15"/>
  <c r="N200" i="15"/>
  <c r="AK21" i="15"/>
  <c r="AK19" i="15"/>
  <c r="Q159" i="15"/>
  <c r="AK44" i="15"/>
  <c r="Q96" i="15"/>
  <c r="Q199" i="15"/>
  <c r="AH29" i="15"/>
  <c r="Q65" i="15"/>
  <c r="Q114" i="15"/>
  <c r="Q123" i="15"/>
  <c r="Q168" i="15"/>
  <c r="Q193" i="15"/>
  <c r="Q55" i="15"/>
  <c r="Q195" i="15"/>
  <c r="Q88" i="15"/>
  <c r="Q184" i="15"/>
  <c r="Q91" i="15"/>
  <c r="Q29" i="15"/>
  <c r="Q194" i="15"/>
  <c r="Q97" i="15"/>
  <c r="Q142" i="15"/>
  <c r="Q75" i="15"/>
  <c r="Q204" i="15"/>
  <c r="Q60" i="15"/>
  <c r="Q37" i="15"/>
  <c r="Q185" i="15"/>
  <c r="Q90" i="15"/>
  <c r="Q129" i="15"/>
  <c r="Q86" i="15"/>
  <c r="Q113" i="15"/>
  <c r="Q147" i="15"/>
  <c r="Q211" i="15"/>
  <c r="Q171" i="15"/>
  <c r="Q174" i="15"/>
  <c r="Q70" i="15"/>
  <c r="Q136" i="15"/>
  <c r="Q210" i="15"/>
  <c r="Q128" i="15"/>
  <c r="Q146" i="15"/>
  <c r="M193" i="15"/>
  <c r="P193" i="15" s="1" a="1"/>
  <c r="P193" i="15" s="1"/>
  <c r="N81" i="15"/>
  <c r="Q156" i="15"/>
  <c r="Q206" i="15"/>
  <c r="Q198" i="15"/>
  <c r="N54" i="15"/>
  <c r="M191" i="15"/>
  <c r="P191" i="15" s="1" a="1"/>
  <c r="P191" i="15" s="1"/>
  <c r="Q130" i="15"/>
  <c r="Q187" i="15"/>
  <c r="Q125" i="15"/>
  <c r="Q149" i="15"/>
  <c r="Q76" i="15"/>
  <c r="Q80" i="15"/>
  <c r="Q112" i="15"/>
  <c r="Q127" i="15"/>
  <c r="Q63" i="15"/>
  <c r="Q36" i="15"/>
  <c r="Q108" i="15"/>
  <c r="Q118" i="15"/>
  <c r="B34" i="15"/>
  <c r="V49" i="15"/>
  <c r="B41" i="15"/>
  <c r="B57" i="15"/>
  <c r="AP27" i="15"/>
  <c r="AP65" i="15"/>
  <c r="AP56" i="15"/>
  <c r="V30" i="15"/>
  <c r="B126" i="15"/>
  <c r="AP44" i="15"/>
  <c r="B187" i="15"/>
  <c r="B32" i="15"/>
  <c r="AP29" i="15"/>
  <c r="B94" i="15"/>
  <c r="B143" i="15"/>
  <c r="V37" i="15"/>
  <c r="V27" i="15"/>
  <c r="AP42" i="15"/>
  <c r="AP61" i="15"/>
  <c r="AP38" i="15"/>
  <c r="AP40" i="15"/>
  <c r="B39" i="15"/>
  <c r="B35" i="15"/>
  <c r="B56" i="15"/>
  <c r="V34" i="15"/>
  <c r="AP53" i="15"/>
  <c r="B70" i="15"/>
  <c r="V24" i="15"/>
  <c r="AP24" i="15"/>
  <c r="B19" i="15"/>
  <c r="B93" i="15"/>
  <c r="B38" i="15"/>
  <c r="B55" i="15"/>
  <c r="B186" i="15"/>
  <c r="AP39" i="15"/>
  <c r="B65" i="15"/>
  <c r="B25" i="15"/>
  <c r="B27" i="15"/>
  <c r="B132" i="15"/>
  <c r="AP32" i="15"/>
  <c r="B109" i="15"/>
  <c r="B30" i="15"/>
  <c r="V32" i="15"/>
  <c r="AP64" i="15"/>
  <c r="B119" i="15"/>
  <c r="AP51" i="15"/>
  <c r="B116" i="15"/>
  <c r="B133" i="15"/>
  <c r="AP46" i="15"/>
  <c r="B42" i="15"/>
  <c r="AP49" i="15"/>
  <c r="V28" i="15"/>
  <c r="V39" i="15"/>
  <c r="B71" i="15"/>
  <c r="AP57" i="15"/>
  <c r="B202" i="15"/>
  <c r="B18" i="15"/>
  <c r="B115" i="15"/>
  <c r="B23" i="15"/>
  <c r="B92" i="15"/>
  <c r="B137" i="15"/>
  <c r="AP34" i="15"/>
  <c r="B188" i="15"/>
  <c r="V21" i="15"/>
  <c r="AP30" i="15"/>
  <c r="V26" i="15"/>
  <c r="AP21" i="15"/>
  <c r="AP45" i="15"/>
  <c r="V23" i="15"/>
  <c r="BJ22" i="15"/>
  <c r="B58" i="15"/>
  <c r="V33" i="15"/>
  <c r="B127" i="15"/>
  <c r="B26" i="15"/>
  <c r="AP60" i="15"/>
  <c r="B129" i="15"/>
  <c r="AP20" i="15"/>
  <c r="AP26" i="15"/>
  <c r="B158" i="15"/>
  <c r="K158" i="15" s="1"/>
  <c r="AP50" i="15"/>
  <c r="B157" i="15"/>
  <c r="V19" i="15"/>
  <c r="B111" i="15"/>
  <c r="B107" i="15"/>
  <c r="B102" i="15"/>
  <c r="B154" i="15"/>
  <c r="B31" i="15"/>
  <c r="BU23" i="15"/>
  <c r="BX23" i="15" s="1" a="1"/>
  <c r="BX23" i="15" s="1"/>
  <c r="BE35" i="15"/>
  <c r="BE23" i="15"/>
  <c r="BE44" i="15"/>
  <c r="BE47" i="15"/>
  <c r="BE24" i="15"/>
  <c r="BE40" i="15"/>
  <c r="BE42" i="15"/>
  <c r="BE70" i="15"/>
  <c r="BE58" i="15"/>
  <c r="BE28" i="15"/>
  <c r="BA58" i="15"/>
  <c r="BD58" i="15" s="1" a="1"/>
  <c r="BD58" i="15" s="1"/>
  <c r="BB26" i="15"/>
  <c r="BE66" i="15"/>
  <c r="BE60" i="15"/>
  <c r="BE19" i="15"/>
  <c r="BE46" i="15"/>
  <c r="BE25" i="15"/>
  <c r="BE54" i="15"/>
  <c r="BE30" i="15"/>
  <c r="BE71" i="15"/>
  <c r="BE31" i="15"/>
  <c r="BB56" i="15"/>
  <c r="BA41" i="15"/>
  <c r="BD41" i="15" s="1" a="1"/>
  <c r="BD41" i="15" s="1"/>
  <c r="BA67" i="15"/>
  <c r="BD67" i="15" s="1" a="1"/>
  <c r="BD67" i="15" s="1"/>
  <c r="AH26" i="15"/>
  <c r="AH27" i="15"/>
  <c r="AK34" i="15"/>
  <c r="Q166" i="15"/>
  <c r="Q84" i="15"/>
  <c r="Q21" i="15"/>
  <c r="Q26" i="15"/>
  <c r="Q178" i="15"/>
  <c r="Q93" i="15"/>
  <c r="Q182" i="15"/>
  <c r="Q44" i="15"/>
  <c r="Q207" i="15"/>
  <c r="Q56" i="15"/>
  <c r="Q179" i="15"/>
  <c r="Q189" i="15"/>
  <c r="Q25" i="15"/>
  <c r="Q124" i="15"/>
  <c r="Q20" i="15"/>
  <c r="Q139" i="15"/>
  <c r="Q41" i="15"/>
  <c r="Q62" i="15"/>
  <c r="Q115" i="15"/>
  <c r="Q164" i="15"/>
  <c r="Q143" i="15"/>
  <c r="Q39" i="15"/>
  <c r="Q71" i="15"/>
  <c r="Q157" i="15"/>
  <c r="Q161" i="15"/>
  <c r="Q180" i="15"/>
  <c r="Q145" i="15"/>
  <c r="Q19" i="15"/>
  <c r="Q148" i="15"/>
  <c r="Q24" i="15"/>
  <c r="Q188" i="15"/>
  <c r="Q122" i="15"/>
  <c r="Q77" i="15"/>
  <c r="Q100" i="15"/>
  <c r="Q30" i="15"/>
  <c r="Q160" i="15"/>
  <c r="Q38" i="15"/>
  <c r="Q181" i="15"/>
  <c r="Q202" i="15"/>
  <c r="Q102" i="15"/>
  <c r="Q78" i="15"/>
  <c r="Q73" i="15"/>
  <c r="Q51" i="15"/>
  <c r="Q126" i="15"/>
  <c r="Q135" i="15"/>
  <c r="N89" i="15"/>
  <c r="Q95" i="15"/>
  <c r="Q69" i="15"/>
  <c r="Q35" i="15"/>
  <c r="Q110" i="15"/>
  <c r="N79" i="15"/>
  <c r="Q28" i="15"/>
  <c r="Q158" i="15"/>
  <c r="Q72" i="15"/>
  <c r="Q177" i="15"/>
  <c r="Q173" i="15"/>
  <c r="Q23" i="15"/>
  <c r="Q66" i="15"/>
  <c r="Q197" i="15"/>
  <c r="Q121" i="15"/>
  <c r="Q45" i="15"/>
  <c r="Q33" i="15"/>
  <c r="BE59" i="15"/>
  <c r="BE55" i="15"/>
  <c r="BE50" i="15"/>
  <c r="BE38" i="15"/>
  <c r="BE56" i="15"/>
  <c r="BE29" i="15"/>
  <c r="BA56" i="15"/>
  <c r="BD56" i="15" s="1" a="1"/>
  <c r="BD56" i="15" s="1"/>
  <c r="BE65" i="15"/>
  <c r="BE45" i="15"/>
  <c r="BE62" i="15"/>
  <c r="BE26" i="15"/>
  <c r="BE18" i="15"/>
  <c r="BB22" i="15"/>
  <c r="BE48" i="15"/>
  <c r="BE22" i="15"/>
  <c r="BE49" i="15"/>
  <c r="BB38" i="15"/>
  <c r="BE69" i="15"/>
  <c r="BE37" i="15"/>
  <c r="BB71" i="15"/>
  <c r="BB29" i="15"/>
  <c r="AK51" i="15"/>
  <c r="AK32" i="15"/>
  <c r="AK39" i="15"/>
  <c r="AK38" i="15"/>
  <c r="AK30" i="15"/>
  <c r="AK46" i="15"/>
  <c r="AK27" i="15"/>
  <c r="AH41" i="15"/>
  <c r="AK29" i="15"/>
  <c r="AG31" i="15"/>
  <c r="AJ31" i="15" s="1" a="1"/>
  <c r="AJ31" i="15" s="1"/>
  <c r="AK22" i="15"/>
  <c r="AK26" i="15"/>
  <c r="AK41" i="15"/>
  <c r="Q54" i="15"/>
  <c r="Q94" i="15"/>
  <c r="Q141" i="15"/>
  <c r="Q208" i="15"/>
  <c r="Q196" i="15"/>
  <c r="Q22" i="15"/>
  <c r="Q61" i="15"/>
  <c r="Q79" i="15"/>
  <c r="Q169" i="15"/>
  <c r="Q101" i="15"/>
  <c r="Q81" i="15"/>
  <c r="Q120" i="15"/>
  <c r="Q89" i="15"/>
  <c r="Q200" i="15"/>
  <c r="Q176" i="15"/>
  <c r="BU22" i="15"/>
  <c r="BX22" i="15" s="1" a="1"/>
  <c r="BX22" i="15" s="1"/>
  <c r="BU21" i="15"/>
  <c r="BX21" i="15" s="1" a="1"/>
  <c r="BX21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7" i="15"/>
  <c r="BB35" i="15"/>
  <c r="BA69" i="15"/>
  <c r="BD69" i="15" s="1" a="1"/>
  <c r="BD69" i="15" s="1"/>
  <c r="BA55" i="15"/>
  <c r="BD55" i="15" s="1" a="1"/>
  <c r="BD55" i="15" s="1"/>
  <c r="BB31" i="15"/>
  <c r="BB46" i="15"/>
  <c r="BB24" i="15"/>
  <c r="BA48" i="15"/>
  <c r="BD48" i="15" s="1" a="1"/>
  <c r="BD48" i="15" s="1"/>
  <c r="BB40" i="15"/>
  <c r="BB42" i="15"/>
  <c r="BB70" i="15"/>
  <c r="BA44" i="15"/>
  <c r="BD44" i="15" s="1" a="1"/>
  <c r="BD44" i="15" s="1"/>
  <c r="BB23" i="15"/>
  <c r="BA71" i="15"/>
  <c r="BD71" i="15" s="1" a="1"/>
  <c r="BD71" i="15" s="1"/>
  <c r="BB30" i="15"/>
  <c r="BA35" i="15"/>
  <c r="BD35" i="15" s="1" a="1"/>
  <c r="BD35" i="15" s="1"/>
  <c r="BA43" i="15"/>
  <c r="BD43" i="15" s="1" a="1"/>
  <c r="BD43" i="15" s="1"/>
  <c r="AH47" i="15"/>
  <c r="AG50" i="15"/>
  <c r="AJ50" i="15" s="1" a="1"/>
  <c r="AJ50" i="15" s="1"/>
  <c r="N123" i="15"/>
  <c r="N33" i="15"/>
  <c r="M181" i="15"/>
  <c r="P181" i="15" s="1" a="1"/>
  <c r="P181" i="15" s="1"/>
  <c r="M167" i="15"/>
  <c r="P167" i="15" s="1" a="1"/>
  <c r="P167" i="15" s="1"/>
  <c r="N175" i="15"/>
  <c r="N41" i="15"/>
  <c r="N59" i="15"/>
  <c r="N140" i="15"/>
  <c r="N159" i="15"/>
  <c r="N103" i="15"/>
  <c r="N137" i="15"/>
  <c r="N96" i="15"/>
  <c r="N85" i="15"/>
  <c r="N199" i="15"/>
  <c r="N50" i="15"/>
  <c r="N82" i="15"/>
  <c r="N34" i="15"/>
  <c r="N125" i="15"/>
  <c r="N119" i="15"/>
  <c r="N149" i="15"/>
  <c r="M199" i="15"/>
  <c r="P199" i="15" s="1" a="1"/>
  <c r="P199" i="15" s="1"/>
  <c r="N190" i="15"/>
  <c r="N205" i="15"/>
  <c r="N64" i="15"/>
  <c r="N181" i="15"/>
  <c r="M194" i="15"/>
  <c r="P194" i="15" s="1" a="1"/>
  <c r="P194" i="15" s="1"/>
  <c r="N92" i="15"/>
  <c r="N153" i="15"/>
  <c r="N134" i="15"/>
  <c r="N132" i="15"/>
  <c r="N167" i="15"/>
  <c r="N163" i="15"/>
  <c r="N133" i="15"/>
  <c r="M103" i="15"/>
  <c r="P103" i="15" s="1" a="1"/>
  <c r="P103" i="15" s="1"/>
  <c r="N99" i="15"/>
  <c r="N39" i="15"/>
  <c r="N154" i="15"/>
  <c r="N158" i="15"/>
  <c r="N202" i="15"/>
  <c r="N179" i="15"/>
  <c r="N144" i="15"/>
  <c r="N84" i="15"/>
  <c r="N25" i="15"/>
  <c r="M33" i="15"/>
  <c r="P33" i="15" s="1" a="1"/>
  <c r="P33" i="15" s="1"/>
  <c r="M125" i="15"/>
  <c r="P125" i="15" s="1" a="1"/>
  <c r="P125" i="15" s="1"/>
  <c r="N161" i="15"/>
  <c r="N180" i="15"/>
  <c r="N148" i="15"/>
  <c r="N72" i="15"/>
  <c r="N102" i="15"/>
  <c r="N78" i="15"/>
  <c r="M122" i="15"/>
  <c r="P122" i="15" s="1" a="1"/>
  <c r="P122" i="15" s="1"/>
  <c r="N126" i="15"/>
  <c r="N35" i="15"/>
  <c r="BV28" i="15"/>
  <c r="AG51" i="15"/>
  <c r="AJ51" i="15" s="1" a="1"/>
  <c r="AJ51" i="15" s="1"/>
  <c r="BA53" i="15"/>
  <c r="BD53" i="15" s="1" a="1"/>
  <c r="BD53" i="15" s="1"/>
  <c r="BA52" i="15"/>
  <c r="BD52" i="15" s="1" a="1"/>
  <c r="BD52" i="15" s="1"/>
  <c r="BA50" i="15"/>
  <c r="BD50" i="15" s="1" a="1"/>
  <c r="BD50" i="15" s="1"/>
  <c r="BA22" i="15"/>
  <c r="BD22" i="15" s="1" a="1"/>
  <c r="BD22" i="15" s="1"/>
  <c r="AG20" i="15"/>
  <c r="AJ20" i="15" s="1" a="1"/>
  <c r="AJ20" i="15" s="1"/>
  <c r="BB34" i="15"/>
  <c r="BB32" i="15"/>
  <c r="BV27" i="15"/>
  <c r="M180" i="15"/>
  <c r="P180" i="15" s="1" a="1"/>
  <c r="P180" i="15" s="1"/>
  <c r="M79" i="15"/>
  <c r="P79" i="15" s="1" a="1"/>
  <c r="P79" i="15" s="1"/>
  <c r="M209" i="15"/>
  <c r="P209" i="15" s="1" a="1"/>
  <c r="P209" i="15" s="1"/>
  <c r="BA21" i="15"/>
  <c r="BD21" i="15" s="1" a="1"/>
  <c r="BD21" i="15" s="1"/>
  <c r="BV26" i="15"/>
  <c r="BA45" i="15"/>
  <c r="BD45" i="15" s="1" a="1"/>
  <c r="BD45" i="15" s="1"/>
  <c r="BV23" i="15"/>
  <c r="BB64" i="15"/>
  <c r="BV21" i="15"/>
  <c r="BA38" i="15"/>
  <c r="BD38" i="15" s="1" a="1"/>
  <c r="BD38" i="15" s="1"/>
  <c r="BV22" i="15"/>
  <c r="BA63" i="15"/>
  <c r="BD63" i="15" s="1" a="1"/>
  <c r="BD63" i="15" s="1"/>
  <c r="M196" i="15"/>
  <c r="P196" i="15" s="1" a="1"/>
  <c r="P196" i="15" s="1"/>
  <c r="N77" i="15"/>
  <c r="N100" i="15"/>
  <c r="BB61" i="15"/>
  <c r="BB59" i="15"/>
  <c r="M139" i="15"/>
  <c r="P139" i="15" s="1" a="1"/>
  <c r="P139" i="15" s="1"/>
  <c r="M135" i="15"/>
  <c r="P135" i="15" s="1" a="1"/>
  <c r="P135" i="15" s="1"/>
  <c r="AG25" i="15"/>
  <c r="AJ25" i="15" s="1" a="1"/>
  <c r="AJ25" i="15" s="1"/>
  <c r="BA57" i="15"/>
  <c r="BD57" i="15" s="1" a="1"/>
  <c r="BD57" i="15" s="1"/>
  <c r="BA30" i="15"/>
  <c r="BD30" i="15" s="1" a="1"/>
  <c r="BD30" i="15" s="1"/>
  <c r="N49" i="15"/>
  <c r="N111" i="15"/>
  <c r="N171" i="15"/>
  <c r="BA33" i="15"/>
  <c r="BD33" i="15" s="1" a="1"/>
  <c r="BD33" i="15" s="1"/>
  <c r="BA64" i="15"/>
  <c r="BD64" i="15" s="1" a="1"/>
  <c r="BD64" i="15" s="1"/>
  <c r="BA42" i="15"/>
  <c r="BD42" i="15" s="1" a="1"/>
  <c r="BD42" i="15" s="1"/>
  <c r="N27" i="15"/>
  <c r="N43" i="15"/>
  <c r="BB50" i="15"/>
  <c r="N117" i="15"/>
  <c r="BB54" i="15"/>
  <c r="BA54" i="15"/>
  <c r="BD54" i="15" s="1" a="1"/>
  <c r="BD54" i="15" s="1"/>
  <c r="AH33" i="15"/>
  <c r="BA65" i="15"/>
  <c r="BD65" i="15" s="1" a="1"/>
  <c r="BD65" i="15" s="1"/>
  <c r="BB67" i="15"/>
  <c r="M73" i="15"/>
  <c r="P73" i="15" s="1" a="1"/>
  <c r="P73" i="15" s="1"/>
  <c r="AG41" i="15"/>
  <c r="AJ41" i="15" s="1" a="1"/>
  <c r="AJ41" i="15" s="1"/>
  <c r="BA60" i="15"/>
  <c r="BD60" i="15" s="1" a="1"/>
  <c r="BD60" i="15" s="1"/>
  <c r="N152" i="15"/>
  <c r="N106" i="15"/>
  <c r="BA51" i="15"/>
  <c r="BD51" i="15" s="1" a="1"/>
  <c r="BD51" i="15" s="1"/>
  <c r="BB20" i="15"/>
  <c r="M55" i="15"/>
  <c r="P55" i="15" s="1" a="1"/>
  <c r="P55" i="15" s="1"/>
  <c r="BA19" i="15"/>
  <c r="BD19" i="15" s="1" a="1"/>
  <c r="BD19" i="15" s="1"/>
  <c r="BA68" i="15"/>
  <c r="BD68" i="15" s="1" a="1"/>
  <c r="BD68" i="15" s="1"/>
  <c r="N67" i="15"/>
  <c r="N203" i="15"/>
  <c r="N44" i="15"/>
  <c r="N42" i="15"/>
  <c r="AH18" i="15"/>
  <c r="BB63" i="15"/>
  <c r="BB33" i="15"/>
  <c r="BA23" i="15"/>
  <c r="BD23" i="15" s="1" a="1"/>
  <c r="BD23" i="15" s="1"/>
  <c r="BA61" i="15"/>
  <c r="BD61" i="15" s="1" a="1"/>
  <c r="BD61" i="15" s="1"/>
  <c r="N189" i="15"/>
  <c r="N131" i="15"/>
  <c r="N71" i="15"/>
  <c r="BA59" i="15"/>
  <c r="BD59" i="15" s="1" a="1"/>
  <c r="BD59" i="15" s="1"/>
  <c r="BB36" i="15"/>
  <c r="BA66" i="15"/>
  <c r="BD66" i="15" s="1" a="1"/>
  <c r="BD66" i="15" s="1"/>
  <c r="BB19" i="15"/>
  <c r="BB58" i="15"/>
  <c r="M190" i="15"/>
  <c r="P190" i="15" s="1" a="1"/>
  <c r="P190" i="15" s="1"/>
  <c r="AG30" i="15"/>
  <c r="AJ30" i="15" s="1" a="1"/>
  <c r="AJ30" i="15" s="1"/>
  <c r="N183" i="15"/>
  <c r="AH30" i="15"/>
  <c r="BB51" i="15"/>
  <c r="BA26" i="15"/>
  <c r="BD26" i="15" s="1" a="1"/>
  <c r="BD26" i="15" s="1"/>
  <c r="BA28" i="15"/>
  <c r="BD28" i="15" s="1" a="1"/>
  <c r="BD28" i="15" s="1"/>
  <c r="N209" i="15"/>
  <c r="BB41" i="15"/>
  <c r="BB68" i="15"/>
  <c r="AG18" i="15"/>
  <c r="AJ18" i="15" s="1" a="1"/>
  <c r="AJ18" i="15" s="1"/>
  <c r="BB52" i="15"/>
  <c r="N31" i="15"/>
  <c r="AG23" i="15"/>
  <c r="AJ23" i="15" s="1" a="1"/>
  <c r="AJ23" i="15" s="1"/>
  <c r="N73" i="15"/>
  <c r="N192" i="15"/>
  <c r="N122" i="15"/>
  <c r="AH42" i="15"/>
  <c r="N115" i="15"/>
  <c r="N164" i="15"/>
  <c r="BB44" i="15"/>
  <c r="M112" i="15"/>
  <c r="P112" i="15" s="1" a="1"/>
  <c r="P112" i="15" s="1"/>
  <c r="AG52" i="15"/>
  <c r="AJ52" i="15" s="1" a="1"/>
  <c r="AJ52" i="15" s="1"/>
  <c r="BB66" i="15"/>
  <c r="BB55" i="15"/>
  <c r="BB28" i="15"/>
  <c r="BB27" i="15"/>
  <c r="BB39" i="15"/>
  <c r="M134" i="15"/>
  <c r="P134" i="15" s="1" a="1"/>
  <c r="P134" i="15" s="1"/>
  <c r="AG37" i="15"/>
  <c r="AJ37" i="15" s="1" a="1"/>
  <c r="AJ37" i="15" s="1"/>
  <c r="M94" i="15"/>
  <c r="P94" i="15" s="1" a="1"/>
  <c r="P94" i="15" s="1"/>
  <c r="M140" i="15"/>
  <c r="P140" i="15" s="1" a="1"/>
  <c r="P140" i="15" s="1"/>
  <c r="AG46" i="15"/>
  <c r="AJ46" i="15" s="1" a="1"/>
  <c r="AJ46" i="15" s="1"/>
  <c r="BB25" i="15"/>
  <c r="M96" i="15"/>
  <c r="P96" i="15" s="1" a="1"/>
  <c r="P96" i="15" s="1"/>
  <c r="M141" i="15"/>
  <c r="P141" i="15" s="1" a="1"/>
  <c r="P141" i="15" s="1"/>
  <c r="M175" i="15"/>
  <c r="P175" i="15" s="1" a="1"/>
  <c r="P175" i="15" s="1"/>
  <c r="M163" i="15"/>
  <c r="P163" i="15" s="1" a="1"/>
  <c r="P163" i="15" s="1"/>
  <c r="AG29" i="15"/>
  <c r="AJ29" i="15" s="1" a="1"/>
  <c r="AJ29" i="15" s="1"/>
  <c r="M173" i="15"/>
  <c r="P173" i="15" s="1" a="1"/>
  <c r="P173" i="15" s="1"/>
  <c r="M107" i="15"/>
  <c r="P107" i="15" s="1" a="1"/>
  <c r="P107" i="15" s="1"/>
  <c r="M158" i="15"/>
  <c r="P158" i="15" s="1" a="1"/>
  <c r="P158" i="15" s="1"/>
  <c r="AG48" i="15"/>
  <c r="AJ48" i="15" s="1" a="1"/>
  <c r="AJ48" i="15" s="1"/>
  <c r="N19" i="15"/>
  <c r="M145" i="15"/>
  <c r="P145" i="15" s="1" a="1"/>
  <c r="P145" i="15" s="1"/>
  <c r="N177" i="15"/>
  <c r="M126" i="15"/>
  <c r="P126" i="15" s="1" a="1"/>
  <c r="P126" i="15" s="1"/>
  <c r="AG47" i="15"/>
  <c r="AJ47" i="15" s="1" a="1"/>
  <c r="AJ47" i="15" s="1"/>
  <c r="AG49" i="15"/>
  <c r="AJ49" i="15" s="1" a="1"/>
  <c r="AJ49" i="15" s="1"/>
  <c r="AG40" i="15"/>
  <c r="AJ40" i="15" s="1" a="1"/>
  <c r="AJ40" i="15" s="1"/>
  <c r="M130" i="15"/>
  <c r="P130" i="15" s="1" a="1"/>
  <c r="P130" i="15" s="1"/>
  <c r="AG35" i="15"/>
  <c r="AJ35" i="15" s="1" a="1"/>
  <c r="AJ35" i="15" s="1"/>
  <c r="AG44" i="15"/>
  <c r="AJ44" i="15" s="1" a="1"/>
  <c r="AJ44" i="15" s="1"/>
  <c r="N98" i="15"/>
  <c r="N116" i="15"/>
  <c r="N186" i="15"/>
  <c r="N129" i="15"/>
  <c r="AH52" i="15"/>
  <c r="AH50" i="15"/>
  <c r="AH19" i="15"/>
  <c r="AH20" i="15"/>
  <c r="AH43" i="15"/>
  <c r="AH34" i="15"/>
  <c r="AH36" i="15"/>
  <c r="AH38" i="15"/>
  <c r="AH37" i="15"/>
  <c r="M200" i="15"/>
  <c r="P200" i="15" s="1" a="1"/>
  <c r="P200" i="15" s="1"/>
  <c r="N76" i="15"/>
  <c r="N195" i="15"/>
  <c r="N80" i="15"/>
  <c r="AH51" i="15"/>
  <c r="N55" i="15"/>
  <c r="M210" i="15"/>
  <c r="P210" i="15" s="1" a="1"/>
  <c r="P210" i="15" s="1"/>
  <c r="M186" i="15"/>
  <c r="P186" i="15" s="1" a="1"/>
  <c r="P186" i="15" s="1"/>
  <c r="M169" i="15"/>
  <c r="P169" i="15" s="1" a="1"/>
  <c r="P169" i="15" s="1"/>
  <c r="M156" i="15"/>
  <c r="P156" i="15" s="1" a="1"/>
  <c r="P156" i="15" s="1"/>
  <c r="M82" i="15"/>
  <c r="P82" i="15" s="1" a="1"/>
  <c r="P82" i="15" s="1"/>
  <c r="N26" i="15"/>
  <c r="N207" i="15"/>
  <c r="N88" i="15"/>
  <c r="N112" i="15"/>
  <c r="AH31" i="15"/>
  <c r="AH49" i="15"/>
  <c r="AH48" i="15"/>
  <c r="M118" i="15"/>
  <c r="P118" i="15" s="1" a="1"/>
  <c r="P118" i="15" s="1"/>
  <c r="M99" i="15"/>
  <c r="P99" i="15" s="1" a="1"/>
  <c r="P99" i="15" s="1"/>
  <c r="N184" i="15"/>
  <c r="N91" i="15"/>
  <c r="N29" i="15"/>
  <c r="N194" i="15"/>
  <c r="N97" i="15"/>
  <c r="N142" i="15"/>
  <c r="N75" i="15"/>
  <c r="AH40" i="15"/>
  <c r="AH25" i="15"/>
  <c r="AH23" i="15"/>
  <c r="N124" i="15"/>
  <c r="N204" i="15"/>
  <c r="N63" i="15"/>
  <c r="N60" i="15"/>
  <c r="N37" i="15"/>
  <c r="N90" i="15"/>
  <c r="AH44" i="15"/>
  <c r="AH45" i="15"/>
  <c r="AH32" i="15"/>
  <c r="M35" i="15"/>
  <c r="P35" i="15" s="1" a="1"/>
  <c r="P35" i="15" s="1"/>
  <c r="M50" i="15"/>
  <c r="P50" i="15" s="1" a="1"/>
  <c r="P50" i="15" s="1"/>
  <c r="M41" i="15"/>
  <c r="P41" i="15" s="1" a="1"/>
  <c r="P41" i="15" s="1"/>
  <c r="M182" i="15"/>
  <c r="P182" i="15" s="1" a="1"/>
  <c r="P182" i="15" s="1"/>
  <c r="M93" i="15"/>
  <c r="P93" i="15" s="1" a="1"/>
  <c r="P93" i="15" s="1"/>
  <c r="N157" i="15"/>
  <c r="N113" i="15"/>
  <c r="N36" i="15"/>
  <c r="N147" i="15"/>
  <c r="N211" i="15"/>
  <c r="AH28" i="15"/>
  <c r="AH46" i="15"/>
  <c r="AH21" i="15"/>
  <c r="M206" i="15"/>
  <c r="P206" i="15" s="1" a="1"/>
  <c r="P206" i="15" s="1"/>
  <c r="M166" i="15"/>
  <c r="P166" i="15" s="1" a="1"/>
  <c r="P166" i="15" s="1"/>
  <c r="M177" i="15"/>
  <c r="P177" i="15" s="1" a="1"/>
  <c r="P177" i="15" s="1"/>
  <c r="M49" i="15"/>
  <c r="P49" i="15" s="1" a="1"/>
  <c r="P49" i="15" s="1"/>
  <c r="M205" i="15"/>
  <c r="P205" i="15" s="1" a="1"/>
  <c r="P205" i="15" s="1"/>
  <c r="N174" i="15"/>
  <c r="N70" i="15"/>
  <c r="N136" i="15"/>
  <c r="N128" i="15"/>
  <c r="N146" i="15"/>
  <c r="AH35" i="15"/>
  <c r="AH24" i="15"/>
  <c r="AH39" i="15"/>
  <c r="M111" i="15"/>
  <c r="P111" i="15" s="1" a="1"/>
  <c r="P111" i="15" s="1"/>
  <c r="M27" i="15"/>
  <c r="P27" i="15" s="1" a="1"/>
  <c r="P27" i="15" s="1"/>
  <c r="M212" i="15"/>
  <c r="P212" i="15" s="1" a="1"/>
  <c r="P212" i="15" s="1"/>
  <c r="M101" i="15"/>
  <c r="P101" i="15" s="1" a="1"/>
  <c r="P101" i="15" s="1"/>
  <c r="M80" i="15"/>
  <c r="P80" i="15" s="1" a="1"/>
  <c r="P80" i="15" s="1"/>
  <c r="M128" i="15"/>
  <c r="P128" i="15" s="1" a="1"/>
  <c r="P128" i="15" s="1"/>
  <c r="N206" i="15"/>
  <c r="N108" i="15"/>
  <c r="M72" i="15"/>
  <c r="P72" i="15" s="1" a="1"/>
  <c r="P72" i="15" s="1"/>
  <c r="M154" i="15"/>
  <c r="P154" i="15" s="1" a="1"/>
  <c r="P154" i="15" s="1"/>
  <c r="M207" i="15"/>
  <c r="P207" i="15" s="1" a="1"/>
  <c r="P207" i="15" s="1"/>
  <c r="M25" i="15"/>
  <c r="P25" i="15" s="1" a="1"/>
  <c r="P25" i="15" s="1"/>
  <c r="M120" i="15"/>
  <c r="P120" i="15" s="1" a="1"/>
  <c r="P120" i="15" s="1"/>
  <c r="N130" i="15"/>
  <c r="N160" i="15"/>
  <c r="M131" i="15"/>
  <c r="P131" i="15" s="1" a="1"/>
  <c r="P131" i="15" s="1"/>
  <c r="M113" i="15"/>
  <c r="P113" i="15" s="1" a="1"/>
  <c r="P113" i="15" s="1"/>
  <c r="M24" i="15"/>
  <c r="P24" i="15" s="1" a="1"/>
  <c r="P24" i="15" s="1"/>
  <c r="M179" i="15"/>
  <c r="P179" i="15" s="1" a="1"/>
  <c r="P179" i="15" s="1"/>
  <c r="M160" i="15"/>
  <c r="P160" i="15" s="1" a="1"/>
  <c r="P160" i="15" s="1"/>
  <c r="M204" i="15"/>
  <c r="P204" i="15" s="1" a="1"/>
  <c r="P204" i="15" s="1"/>
  <c r="M71" i="15"/>
  <c r="P71" i="15" s="1" a="1"/>
  <c r="P71" i="15" s="1"/>
  <c r="N46" i="15"/>
  <c r="N52" i="15"/>
  <c r="M98" i="15"/>
  <c r="P98" i="15" s="1" a="1"/>
  <c r="P98" i="15" s="1"/>
  <c r="N188" i="15"/>
  <c r="M172" i="15"/>
  <c r="P172" i="15" s="1" a="1"/>
  <c r="P172" i="15" s="1"/>
  <c r="M76" i="15"/>
  <c r="P76" i="15" s="1" a="1"/>
  <c r="P76" i="15" s="1"/>
  <c r="M95" i="15"/>
  <c r="P95" i="15" s="1" a="1"/>
  <c r="P95" i="15" s="1"/>
  <c r="N28" i="15"/>
  <c r="M133" i="15"/>
  <c r="P133" i="15" s="1" a="1"/>
  <c r="P133" i="15" s="1"/>
  <c r="M189" i="15"/>
  <c r="P189" i="15" s="1" a="1"/>
  <c r="P189" i="15" s="1"/>
  <c r="N68" i="15"/>
  <c r="N47" i="15"/>
  <c r="N40" i="15"/>
  <c r="N201" i="15"/>
  <c r="N165" i="15"/>
  <c r="M208" i="15"/>
  <c r="P208" i="15" s="1" a="1"/>
  <c r="P208" i="15" s="1"/>
  <c r="M124" i="15"/>
  <c r="P124" i="15" s="1" a="1"/>
  <c r="P124" i="15" s="1"/>
  <c r="N20" i="15"/>
  <c r="N155" i="15"/>
  <c r="N139" i="15"/>
  <c r="N62" i="15"/>
  <c r="M68" i="15"/>
  <c r="P68" i="15" s="1" a="1"/>
  <c r="P68" i="15" s="1"/>
  <c r="M157" i="15"/>
  <c r="P157" i="15" s="1" a="1"/>
  <c r="P157" i="15" s="1"/>
  <c r="M129" i="15"/>
  <c r="P129" i="15" s="1" a="1"/>
  <c r="P129" i="15" s="1"/>
  <c r="N30" i="15"/>
  <c r="N135" i="15"/>
  <c r="M108" i="15"/>
  <c r="P108" i="15" s="1" a="1"/>
  <c r="P108" i="15" s="1"/>
  <c r="M117" i="15"/>
  <c r="P117" i="15" s="1" a="1"/>
  <c r="P117" i="15" s="1"/>
  <c r="N170" i="15"/>
  <c r="M114" i="15"/>
  <c r="P114" i="15" s="1" a="1"/>
  <c r="P114" i="15" s="1"/>
  <c r="M201" i="15"/>
  <c r="P201" i="15" s="1" a="1"/>
  <c r="P201" i="15" s="1"/>
  <c r="M197" i="15"/>
  <c r="P197" i="15" s="1" a="1"/>
  <c r="P197" i="15" s="1"/>
  <c r="M198" i="15"/>
  <c r="P198" i="15" s="1" a="1"/>
  <c r="P198" i="15" s="1"/>
  <c r="M170" i="15"/>
  <c r="P170" i="15" s="1" a="1"/>
  <c r="P170" i="15" s="1"/>
  <c r="M162" i="15"/>
  <c r="P162" i="15" s="1" a="1"/>
  <c r="P162" i="15" s="1"/>
  <c r="M174" i="15"/>
  <c r="P174" i="15" s="1" a="1"/>
  <c r="P174" i="15" s="1"/>
  <c r="M171" i="15"/>
  <c r="P171" i="15" s="1" a="1"/>
  <c r="P171" i="15" s="1"/>
  <c r="N109" i="15"/>
  <c r="M43" i="15"/>
  <c r="P43" i="15" s="1" a="1"/>
  <c r="P43" i="15" s="1"/>
  <c r="N24" i="15"/>
  <c r="M192" i="15"/>
  <c r="P192" i="15" s="1" a="1"/>
  <c r="P192" i="15" s="1"/>
  <c r="M90" i="15"/>
  <c r="P90" i="15" s="1" a="1"/>
  <c r="P90" i="15" s="1"/>
  <c r="M147" i="15"/>
  <c r="P147" i="15" s="1" a="1"/>
  <c r="P147" i="15" s="1"/>
  <c r="M32" i="15"/>
  <c r="P32" i="15" s="1" a="1"/>
  <c r="P32" i="15" s="1"/>
  <c r="M85" i="15"/>
  <c r="P85" i="15" s="1" a="1"/>
  <c r="P85" i="15" s="1"/>
  <c r="M81" i="15"/>
  <c r="P81" i="15" s="1" a="1"/>
  <c r="P81" i="15" s="1"/>
  <c r="N138" i="15"/>
  <c r="N173" i="15"/>
  <c r="N23" i="15"/>
  <c r="N51" i="15"/>
  <c r="N87" i="15"/>
  <c r="N151" i="15"/>
  <c r="M185" i="15"/>
  <c r="P185" i="15" s="1" a="1"/>
  <c r="P185" i="15" s="1"/>
  <c r="M155" i="15"/>
  <c r="P155" i="15" s="1" a="1"/>
  <c r="P155" i="15" s="1"/>
  <c r="M36" i="15"/>
  <c r="P36" i="15" s="1" a="1"/>
  <c r="P36" i="15" s="1"/>
  <c r="M151" i="15"/>
  <c r="P151" i="15" s="1" a="1"/>
  <c r="P151" i="15" s="1"/>
  <c r="M149" i="15"/>
  <c r="P149" i="15" s="1" a="1"/>
  <c r="P149" i="15" s="1"/>
  <c r="N95" i="15"/>
  <c r="N69" i="15"/>
  <c r="N110" i="15"/>
  <c r="N212" i="15"/>
  <c r="N145" i="15"/>
  <c r="M146" i="15"/>
  <c r="P146" i="15" s="1" a="1"/>
  <c r="P146" i="15" s="1"/>
  <c r="M138" i="15"/>
  <c r="P138" i="15" s="1" a="1"/>
  <c r="P138" i="15" s="1"/>
  <c r="M187" i="15"/>
  <c r="P187" i="15" s="1" a="1"/>
  <c r="P187" i="15" s="1"/>
  <c r="M142" i="15"/>
  <c r="P142" i="15" s="1" a="1"/>
  <c r="P142" i="15" s="1"/>
  <c r="M168" i="15"/>
  <c r="P168" i="15" s="1" a="1"/>
  <c r="P168" i="15" s="1"/>
  <c r="M176" i="15"/>
  <c r="P176" i="15" s="1" a="1"/>
  <c r="P176" i="15" s="1"/>
  <c r="M66" i="15"/>
  <c r="P66" i="15" s="1" a="1"/>
  <c r="P66" i="15" s="1"/>
  <c r="N66" i="15"/>
  <c r="N197" i="15"/>
  <c r="N74" i="15"/>
  <c r="N121" i="15"/>
  <c r="N127" i="15"/>
  <c r="N57" i="15"/>
  <c r="M34" i="15"/>
  <c r="P34" i="15" s="1" a="1"/>
  <c r="P34" i="15" s="1"/>
  <c r="M110" i="15"/>
  <c r="P110" i="15" s="1" a="1"/>
  <c r="P110" i="15" s="1"/>
  <c r="M40" i="15"/>
  <c r="P40" i="15" s="1" a="1"/>
  <c r="P40" i="15" s="1"/>
  <c r="M143" i="15"/>
  <c r="P143" i="15" s="1" a="1"/>
  <c r="P143" i="15" s="1"/>
  <c r="M195" i="15"/>
  <c r="P195" i="15" s="1" a="1"/>
  <c r="P195" i="15" s="1"/>
  <c r="N53" i="15"/>
  <c r="N143" i="15"/>
  <c r="N58" i="15"/>
  <c r="M161" i="15"/>
  <c r="P161" i="15" s="1" a="1"/>
  <c r="P161" i="15" s="1"/>
  <c r="N18" i="15"/>
  <c r="M22" i="15"/>
  <c r="P22" i="15" s="1" a="1"/>
  <c r="P22" i="15" s="1"/>
  <c r="M116" i="15"/>
  <c r="P116" i="15" s="1" a="1"/>
  <c r="P116" i="15" s="1"/>
  <c r="M152" i="15"/>
  <c r="P152" i="15" s="1" a="1"/>
  <c r="P152" i="15" s="1"/>
  <c r="M60" i="15"/>
  <c r="P60" i="15" s="1" a="1"/>
  <c r="P60" i="15" s="1"/>
  <c r="N32" i="15"/>
  <c r="N166" i="15"/>
  <c r="M18" i="15"/>
  <c r="P18" i="15" s="1" a="1"/>
  <c r="P18" i="15" s="1"/>
  <c r="M106" i="15"/>
  <c r="P106" i="15" s="1" a="1"/>
  <c r="P106" i="15" s="1"/>
  <c r="M136" i="15"/>
  <c r="P136" i="15" s="1" a="1"/>
  <c r="P136" i="15" s="1"/>
  <c r="M148" i="15"/>
  <c r="P148" i="15" s="1" a="1"/>
  <c r="P148" i="15" s="1"/>
  <c r="M203" i="15"/>
  <c r="P203" i="15" s="1" a="1"/>
  <c r="P203" i="15" s="1"/>
  <c r="M165" i="15"/>
  <c r="P165" i="15" s="1" a="1"/>
  <c r="P165" i="15" s="1"/>
  <c r="M56" i="15"/>
  <c r="P56" i="15" s="1" a="1"/>
  <c r="P56" i="15" s="1"/>
  <c r="M183" i="15"/>
  <c r="P183" i="15" s="1" a="1"/>
  <c r="P183" i="15" s="1"/>
  <c r="M21" i="15"/>
  <c r="P21" i="15" s="1" a="1"/>
  <c r="P21" i="15" s="1"/>
  <c r="N21" i="15"/>
  <c r="N178" i="15"/>
  <c r="N93" i="15"/>
  <c r="N182" i="15"/>
  <c r="N56" i="15"/>
  <c r="N45" i="15"/>
  <c r="M211" i="15"/>
  <c r="P211" i="15" s="1" a="1"/>
  <c r="P211" i="15" s="1"/>
  <c r="M57" i="15"/>
  <c r="P57" i="15" s="1" a="1"/>
  <c r="P57" i="15" s="1"/>
  <c r="M178" i="15"/>
  <c r="P178" i="15" s="1" a="1"/>
  <c r="P178" i="15" s="1"/>
  <c r="M184" i="15"/>
  <c r="P184" i="15" s="1" a="1"/>
  <c r="P184" i="15" s="1"/>
  <c r="N65" i="15"/>
  <c r="M188" i="15"/>
  <c r="P188" i="15" s="1" a="1"/>
  <c r="P188" i="15" s="1"/>
  <c r="N156" i="15"/>
  <c r="N168" i="15"/>
  <c r="M202" i="15"/>
  <c r="P202" i="15" s="1" a="1"/>
  <c r="P202" i="15" s="1"/>
  <c r="N187" i="15"/>
  <c r="N172" i="15"/>
  <c r="N107" i="15"/>
  <c r="N162" i="15"/>
  <c r="N150" i="15"/>
  <c r="N193" i="15"/>
  <c r="N38" i="15"/>
  <c r="N185" i="15"/>
  <c r="N210" i="15"/>
  <c r="N114" i="15"/>
  <c r="N118" i="15"/>
  <c r="N86" i="15"/>
  <c r="N191" i="15"/>
  <c r="N198" i="15"/>
  <c r="C148" i="15"/>
  <c r="R83" i="15" l="1"/>
  <c r="R48" i="15"/>
  <c r="R105" i="15"/>
  <c r="K175" i="15"/>
  <c r="O175" i="15" s="1" a="1"/>
  <c r="O175" i="15" s="1"/>
  <c r="AZ31" i="15"/>
  <c r="AZ64" i="15"/>
  <c r="M37" i="15"/>
  <c r="P37" i="15" s="1" a="1"/>
  <c r="P37" i="15" s="1"/>
  <c r="K88" i="15"/>
  <c r="O88" i="15" s="1" a="1"/>
  <c r="O88" i="15" s="1"/>
  <c r="K47" i="15"/>
  <c r="O47" i="15" s="1" a="1"/>
  <c r="O47" i="15" s="1"/>
  <c r="K145" i="15"/>
  <c r="O145" i="15" s="1" a="1"/>
  <c r="O145" i="15" s="1"/>
  <c r="L200" i="15"/>
  <c r="L166" i="15"/>
  <c r="L165" i="15"/>
  <c r="L195" i="15"/>
  <c r="BB53" i="15"/>
  <c r="AY67" i="15"/>
  <c r="BC67" i="15" s="1" a="1"/>
  <c r="BC67" i="15" s="1"/>
  <c r="BB21" i="15"/>
  <c r="AE51" i="15"/>
  <c r="AI51" i="15" s="1" a="1"/>
  <c r="AI51" i="15" s="1"/>
  <c r="M84" i="15"/>
  <c r="P84" i="15" s="1" a="1"/>
  <c r="P84" i="15" s="1"/>
  <c r="AY22" i="15"/>
  <c r="BC22" i="15" s="1" a="1"/>
  <c r="BC22" i="15" s="1"/>
  <c r="AZ52" i="15"/>
  <c r="BT26" i="15"/>
  <c r="BT23" i="15"/>
  <c r="BT28" i="15"/>
  <c r="BB57" i="15"/>
  <c r="AY69" i="15"/>
  <c r="BC69" i="15" s="1" a="1"/>
  <c r="BC69" i="15" s="1"/>
  <c r="AY58" i="15"/>
  <c r="BC58" i="15" s="1" a="1"/>
  <c r="BC58" i="15" s="1"/>
  <c r="AY66" i="15"/>
  <c r="BC66" i="15" s="1" a="1"/>
  <c r="BC66" i="15" s="1"/>
  <c r="AY63" i="15"/>
  <c r="BC63" i="15" s="1" a="1"/>
  <c r="BC63" i="15" s="1"/>
  <c r="AZ25" i="15"/>
  <c r="AF35" i="15"/>
  <c r="AF52" i="15"/>
  <c r="AF31" i="15"/>
  <c r="AF28" i="15"/>
  <c r="AE48" i="15"/>
  <c r="AI48" i="15" s="1" a="1"/>
  <c r="AI48" i="15" s="1"/>
  <c r="K98" i="15"/>
  <c r="O98" i="15" s="1" a="1"/>
  <c r="O98" i="15" s="1"/>
  <c r="K118" i="15"/>
  <c r="O118" i="15" s="1" a="1"/>
  <c r="O118" i="15" s="1"/>
  <c r="L161" i="15"/>
  <c r="K120" i="15"/>
  <c r="O120" i="15" s="1" a="1"/>
  <c r="O120" i="15" s="1"/>
  <c r="K26" i="15"/>
  <c r="O26" i="15" s="1" a="1"/>
  <c r="O26" i="15" s="1"/>
  <c r="L41" i="15"/>
  <c r="L95" i="15"/>
  <c r="K96" i="15"/>
  <c r="O96" i="15" s="1" a="1"/>
  <c r="O96" i="15" s="1"/>
  <c r="K50" i="15"/>
  <c r="O50" i="15" s="1" a="1"/>
  <c r="O50" i="15" s="1"/>
  <c r="L18" i="15"/>
  <c r="L39" i="15"/>
  <c r="K113" i="15"/>
  <c r="O113" i="15" s="1" a="1"/>
  <c r="O113" i="15" s="1"/>
  <c r="K153" i="15"/>
  <c r="O153" i="15" s="1" a="1"/>
  <c r="O153" i="15" s="1"/>
  <c r="K72" i="15"/>
  <c r="O72" i="15" s="1" a="1"/>
  <c r="O72" i="15" s="1"/>
  <c r="K61" i="15"/>
  <c r="O61" i="15" s="1" a="1"/>
  <c r="O61" i="15" s="1"/>
  <c r="K37" i="15"/>
  <c r="O37" i="15" s="1" a="1"/>
  <c r="O37" i="15" s="1"/>
  <c r="K74" i="15"/>
  <c r="O74" i="15" s="1" a="1"/>
  <c r="O74" i="15" s="1"/>
  <c r="L123" i="15"/>
  <c r="AE35" i="15"/>
  <c r="AI35" i="15" s="1" a="1"/>
  <c r="AI35" i="15" s="1"/>
  <c r="AE44" i="15"/>
  <c r="AI44" i="15" s="1" a="1"/>
  <c r="AI44" i="15" s="1"/>
  <c r="L75" i="15"/>
  <c r="K181" i="15"/>
  <c r="O181" i="15" s="1" a="1"/>
  <c r="O181" i="15" s="1"/>
  <c r="K82" i="15"/>
  <c r="O82" i="15" s="1" a="1"/>
  <c r="O82" i="15" s="1"/>
  <c r="K197" i="15"/>
  <c r="O197" i="15" s="1" a="1"/>
  <c r="O197" i="15" s="1"/>
  <c r="AE29" i="15"/>
  <c r="AI29" i="15" s="1" a="1"/>
  <c r="AI29" i="15" s="1"/>
  <c r="AF44" i="15"/>
  <c r="K186" i="15"/>
  <c r="O186" i="15" s="1" a="1"/>
  <c r="O186" i="15" s="1"/>
  <c r="K177" i="15"/>
  <c r="O177" i="15" s="1" a="1"/>
  <c r="O177" i="15" s="1"/>
  <c r="L185" i="15"/>
  <c r="K192" i="15"/>
  <c r="O192" i="15" s="1" a="1"/>
  <c r="O192" i="15" s="1"/>
  <c r="L210" i="15"/>
  <c r="K78" i="15"/>
  <c r="O78" i="15" s="1" a="1"/>
  <c r="O78" i="15" s="1"/>
  <c r="L72" i="15"/>
  <c r="AY68" i="15"/>
  <c r="BC68" i="15" s="1" a="1"/>
  <c r="BC68" i="15" s="1"/>
  <c r="BS22" i="15"/>
  <c r="BW22" i="15" s="1" a="1"/>
  <c r="BW22" i="15" s="1"/>
  <c r="K211" i="15"/>
  <c r="O211" i="15" s="1" a="1"/>
  <c r="O211" i="15" s="1"/>
  <c r="AZ70" i="15"/>
  <c r="AZ48" i="15"/>
  <c r="AZ33" i="15"/>
  <c r="BT19" i="15"/>
  <c r="L179" i="15"/>
  <c r="L193" i="15"/>
  <c r="K174" i="15"/>
  <c r="O174" i="15" s="1" a="1"/>
  <c r="O174" i="15" s="1"/>
  <c r="L182" i="15"/>
  <c r="L199" i="15"/>
  <c r="L110" i="15"/>
  <c r="K73" i="15"/>
  <c r="O73" i="15" s="1" a="1"/>
  <c r="O73" i="15" s="1"/>
  <c r="AZ36" i="15"/>
  <c r="L135" i="15"/>
  <c r="L212" i="15"/>
  <c r="K112" i="15"/>
  <c r="O112" i="15" s="1" a="1"/>
  <c r="O112" i="15" s="1"/>
  <c r="L36" i="15"/>
  <c r="K114" i="15"/>
  <c r="O114" i="15" s="1" a="1"/>
  <c r="O114" i="15" s="1"/>
  <c r="BS21" i="15"/>
  <c r="BW21" i="15" s="1" a="1"/>
  <c r="BW21" i="15" s="1"/>
  <c r="L106" i="15"/>
  <c r="AY19" i="15"/>
  <c r="BC19" i="15" s="1" a="1"/>
  <c r="BC19" i="15" s="1"/>
  <c r="BS27" i="15"/>
  <c r="BW27" i="15" s="1" a="1"/>
  <c r="BW27" i="15" s="1"/>
  <c r="L138" i="15"/>
  <c r="K178" i="15"/>
  <c r="O178" i="15" s="1" a="1"/>
  <c r="O178" i="15" s="1"/>
  <c r="AY35" i="15"/>
  <c r="BC35" i="15" s="1" a="1"/>
  <c r="BC35" i="15" s="1"/>
  <c r="L205" i="15"/>
  <c r="L58" i="15"/>
  <c r="K31" i="15"/>
  <c r="O31" i="15" s="1" a="1"/>
  <c r="O31" i="15" s="1"/>
  <c r="L37" i="15"/>
  <c r="L107" i="15"/>
  <c r="BS24" i="15"/>
  <c r="BW24" i="15" s="1" a="1"/>
  <c r="BW24" i="15" s="1"/>
  <c r="BT25" i="15"/>
  <c r="AZ71" i="15"/>
  <c r="L126" i="15"/>
  <c r="K163" i="15"/>
  <c r="O163" i="15" s="1" a="1"/>
  <c r="O163" i="15" s="1"/>
  <c r="K167" i="15"/>
  <c r="O167" i="15" s="1" a="1"/>
  <c r="O167" i="15" s="1"/>
  <c r="L208" i="15"/>
  <c r="K194" i="15"/>
  <c r="O194" i="15" s="1" a="1"/>
  <c r="O194" i="15" s="1"/>
  <c r="L171" i="15"/>
  <c r="K75" i="15"/>
  <c r="O75" i="15" s="1" a="1"/>
  <c r="O75" i="15" s="1"/>
  <c r="AY62" i="15"/>
  <c r="BC62" i="15" s="1" a="1"/>
  <c r="BC62" i="15" s="1"/>
  <c r="BT18" i="15"/>
  <c r="L69" i="15"/>
  <c r="K169" i="15"/>
  <c r="O169" i="15" s="1" a="1"/>
  <c r="O169" i="15" s="1"/>
  <c r="L47" i="15"/>
  <c r="K184" i="15"/>
  <c r="O184" i="15" s="1" a="1"/>
  <c r="O184" i="15" s="1"/>
  <c r="K149" i="15"/>
  <c r="O149" i="15" s="1" a="1"/>
  <c r="O149" i="15" s="1"/>
  <c r="K51" i="15"/>
  <c r="O51" i="15" s="1" a="1"/>
  <c r="O51" i="15" s="1"/>
  <c r="L206" i="15"/>
  <c r="L85" i="15"/>
  <c r="L38" i="15"/>
  <c r="K170" i="15"/>
  <c r="O170" i="15" s="1" a="1"/>
  <c r="O170" i="15" s="1"/>
  <c r="K122" i="15"/>
  <c r="O122" i="15" s="1" a="1"/>
  <c r="O122" i="15" s="1"/>
  <c r="K172" i="15"/>
  <c r="O172" i="15" s="1" a="1"/>
  <c r="O172" i="15" s="1"/>
  <c r="L97" i="15"/>
  <c r="L88" i="15"/>
  <c r="L204" i="15"/>
  <c r="L196" i="15"/>
  <c r="L134" i="15"/>
  <c r="K100" i="15"/>
  <c r="O100" i="15" s="1" a="1"/>
  <c r="O100" i="15" s="1"/>
  <c r="K101" i="15"/>
  <c r="O101" i="15" s="1" a="1"/>
  <c r="O101" i="15" s="1"/>
  <c r="L203" i="15"/>
  <c r="L68" i="15"/>
  <c r="K140" i="15"/>
  <c r="O140" i="15" s="1" a="1"/>
  <c r="O140" i="15" s="1"/>
  <c r="K180" i="15"/>
  <c r="O180" i="15" s="1" a="1"/>
  <c r="O180" i="15" s="1"/>
  <c r="K136" i="15"/>
  <c r="O136" i="15" s="1" a="1"/>
  <c r="O136" i="15" s="1"/>
  <c r="K125" i="15"/>
  <c r="O125" i="15" s="1" a="1"/>
  <c r="O125" i="15" s="1"/>
  <c r="K142" i="15"/>
  <c r="O142" i="15" s="1" a="1"/>
  <c r="O142" i="15" s="1"/>
  <c r="K28" i="15"/>
  <c r="O28" i="15" s="1" a="1"/>
  <c r="O28" i="15" s="1"/>
  <c r="K191" i="15"/>
  <c r="O191" i="15" s="1" a="1"/>
  <c r="O191" i="15" s="1"/>
  <c r="K99" i="15"/>
  <c r="O99" i="15" s="1" a="1"/>
  <c r="O99" i="15" s="1"/>
  <c r="L168" i="15"/>
  <c r="K117" i="15"/>
  <c r="O117" i="15" s="1" a="1"/>
  <c r="O117" i="15" s="1"/>
  <c r="AZ56" i="15"/>
  <c r="AF22" i="15"/>
  <c r="AY55" i="15"/>
  <c r="BC55" i="15" s="1" a="1"/>
  <c r="BC55" i="15" s="1"/>
  <c r="L61" i="15"/>
  <c r="K67" i="15"/>
  <c r="O67" i="15" s="1" a="1"/>
  <c r="O67" i="15" s="1"/>
  <c r="L146" i="15"/>
  <c r="L189" i="15"/>
  <c r="AE20" i="15"/>
  <c r="AI20" i="15" s="1" a="1"/>
  <c r="AI20" i="15" s="1"/>
  <c r="AY65" i="15"/>
  <c r="BC65" i="15" s="1" a="1"/>
  <c r="BC65" i="15" s="1"/>
  <c r="L76" i="15"/>
  <c r="L20" i="15"/>
  <c r="AE40" i="15"/>
  <c r="AI40" i="15" s="1" a="1"/>
  <c r="AI40" i="15" s="1"/>
  <c r="L131" i="15"/>
  <c r="K90" i="15"/>
  <c r="O90" i="15" s="1" a="1"/>
  <c r="O90" i="15" s="1"/>
  <c r="L155" i="15"/>
  <c r="L183" i="15"/>
  <c r="K188" i="15"/>
  <c r="O188" i="15" s="1" a="1"/>
  <c r="O188" i="15" s="1"/>
  <c r="AF50" i="15"/>
  <c r="K198" i="15"/>
  <c r="O198" i="15" s="1" a="1"/>
  <c r="O198" i="15" s="1"/>
  <c r="K190" i="15"/>
  <c r="O190" i="15" s="1" a="1"/>
  <c r="O190" i="15" s="1"/>
  <c r="K57" i="15"/>
  <c r="O57" i="15" s="1" a="1"/>
  <c r="O57" i="15" s="1"/>
  <c r="K80" i="15"/>
  <c r="O80" i="15" s="1" a="1"/>
  <c r="O80" i="15" s="1"/>
  <c r="AY28" i="15"/>
  <c r="BC28" i="15" s="1" a="1"/>
  <c r="BC28" i="15" s="1"/>
  <c r="K21" i="15"/>
  <c r="O21" i="15" s="1" a="1"/>
  <c r="O21" i="15" s="1"/>
  <c r="K148" i="15"/>
  <c r="O148" i="15" s="1" a="1"/>
  <c r="O148" i="15" s="1"/>
  <c r="K87" i="15"/>
  <c r="O87" i="15" s="1" a="1"/>
  <c r="O87" i="15" s="1"/>
  <c r="K176" i="15"/>
  <c r="O176" i="15" s="1" a="1"/>
  <c r="O176" i="15" s="1"/>
  <c r="L24" i="15"/>
  <c r="L173" i="15"/>
  <c r="K207" i="15"/>
  <c r="O207" i="15" s="1" a="1"/>
  <c r="O207" i="15" s="1"/>
  <c r="K202" i="15"/>
  <c r="O202" i="15" s="1" a="1"/>
  <c r="O202" i="15" s="1"/>
  <c r="L139" i="15"/>
  <c r="L79" i="15"/>
  <c r="AF45" i="15"/>
  <c r="K201" i="15"/>
  <c r="O201" i="15" s="1" a="1"/>
  <c r="O201" i="15" s="1"/>
  <c r="L46" i="15"/>
  <c r="K187" i="15"/>
  <c r="O187" i="15" s="1" a="1"/>
  <c r="O187" i="15" s="1"/>
  <c r="K209" i="15"/>
  <c r="O209" i="15" s="1" a="1"/>
  <c r="O209" i="15" s="1"/>
  <c r="K25" i="15"/>
  <c r="O25" i="15" s="1" a="1"/>
  <c r="O25" i="15" s="1"/>
  <c r="K81" i="15"/>
  <c r="O81" i="15" s="1" a="1"/>
  <c r="O81" i="15" s="1"/>
  <c r="K143" i="15"/>
  <c r="O143" i="15" s="1" a="1"/>
  <c r="O143" i="15" s="1"/>
  <c r="AZ18" i="15"/>
  <c r="L66" i="15"/>
  <c r="L77" i="15"/>
  <c r="AE41" i="15"/>
  <c r="AI41" i="15" s="1" a="1"/>
  <c r="AI41" i="15" s="1"/>
  <c r="L74" i="15"/>
  <c r="K95" i="15"/>
  <c r="O95" i="15" s="1" a="1"/>
  <c r="O95" i="15" s="1"/>
  <c r="K33" i="15"/>
  <c r="O33" i="15" s="1" a="1"/>
  <c r="O33" i="15" s="1"/>
  <c r="L102" i="15"/>
  <c r="L56" i="15"/>
  <c r="K43" i="15"/>
  <c r="O43" i="15" s="1" a="1"/>
  <c r="O43" i="15" s="1"/>
  <c r="AY47" i="15"/>
  <c r="BC47" i="15" s="1" a="1"/>
  <c r="BC47" i="15" s="1"/>
  <c r="L70" i="15"/>
  <c r="BY20" i="15"/>
  <c r="BS20" i="15"/>
  <c r="BW20" i="15" s="1" a="1"/>
  <c r="BW20" i="15" s="1"/>
  <c r="BE43" i="15"/>
  <c r="K62" i="15"/>
  <c r="O62" i="15" s="1" a="1"/>
  <c r="O62" i="15" s="1"/>
  <c r="K123" i="15"/>
  <c r="O123" i="15" s="1" a="1"/>
  <c r="O123" i="15" s="1"/>
  <c r="AY25" i="15"/>
  <c r="BC25" i="15" s="1" a="1"/>
  <c r="BC25" i="15" s="1"/>
  <c r="L54" i="15"/>
  <c r="AZ23" i="15"/>
  <c r="AZ19" i="15"/>
  <c r="AE36" i="15"/>
  <c r="AI36" i="15" s="1" a="1"/>
  <c r="AI36" i="15" s="1"/>
  <c r="M28" i="15"/>
  <c r="P28" i="15" s="1" a="1"/>
  <c r="P28" i="15" s="1"/>
  <c r="AY43" i="15"/>
  <c r="BC43" i="15" s="1" a="1"/>
  <c r="BC43" i="15" s="1"/>
  <c r="BA25" i="15"/>
  <c r="BD25" i="15" s="1" a="1"/>
  <c r="BD25" i="15" s="1"/>
  <c r="AZ43" i="15"/>
  <c r="AF36" i="15"/>
  <c r="AF18" i="15"/>
  <c r="AF24" i="15"/>
  <c r="AF47" i="15"/>
  <c r="AE46" i="15"/>
  <c r="AI46" i="15" s="1" a="1"/>
  <c r="AI46" i="15" s="1"/>
  <c r="L142" i="15"/>
  <c r="K97" i="15"/>
  <c r="O97" i="15" s="1" a="1"/>
  <c r="O97" i="15" s="1"/>
  <c r="K137" i="15"/>
  <c r="O137" i="15" s="1" a="1"/>
  <c r="O137" i="15" s="1"/>
  <c r="K49" i="15"/>
  <c r="O49" i="15" s="1" a="1"/>
  <c r="O49" i="15" s="1"/>
  <c r="AF43" i="15"/>
  <c r="M153" i="15"/>
  <c r="P153" i="15" s="1" a="1"/>
  <c r="P153" i="15" s="1"/>
  <c r="K106" i="15"/>
  <c r="O106" i="15" s="1" a="1"/>
  <c r="O106" i="15" s="1"/>
  <c r="L21" i="15"/>
  <c r="K119" i="15"/>
  <c r="O119" i="15" s="1" a="1"/>
  <c r="O119" i="15" s="1"/>
  <c r="K164" i="15"/>
  <c r="O164" i="15" s="1" a="1"/>
  <c r="O164" i="15" s="1"/>
  <c r="L86" i="15"/>
  <c r="L45" i="15"/>
  <c r="K69" i="15"/>
  <c r="O69" i="15" s="1" a="1"/>
  <c r="O69" i="15" s="1"/>
  <c r="K52" i="15"/>
  <c r="O52" i="15" s="1" a="1"/>
  <c r="O52" i="15" s="1"/>
  <c r="K20" i="15"/>
  <c r="O20" i="15" s="1" a="1"/>
  <c r="O20" i="15" s="1"/>
  <c r="L160" i="15"/>
  <c r="L164" i="15"/>
  <c r="AE45" i="15"/>
  <c r="AI45" i="15" s="1" a="1"/>
  <c r="AI45" i="15" s="1"/>
  <c r="K64" i="15"/>
  <c r="O64" i="15" s="1" a="1"/>
  <c r="O64" i="15" s="1"/>
  <c r="K86" i="15"/>
  <c r="O86" i="15" s="1" a="1"/>
  <c r="O86" i="15" s="1"/>
  <c r="AE38" i="15"/>
  <c r="AI38" i="15" s="1" a="1"/>
  <c r="AI38" i="15" s="1"/>
  <c r="K160" i="15"/>
  <c r="O160" i="15" s="1" a="1"/>
  <c r="O160" i="15" s="1"/>
  <c r="K59" i="15"/>
  <c r="O59" i="15" s="1" a="1"/>
  <c r="O59" i="15" s="1"/>
  <c r="AY36" i="15"/>
  <c r="BC36" i="15" s="1" a="1"/>
  <c r="BC36" i="15" s="1"/>
  <c r="K115" i="15"/>
  <c r="O115" i="15" s="1" a="1"/>
  <c r="O115" i="15" s="1"/>
  <c r="L159" i="15"/>
  <c r="K29" i="15"/>
  <c r="O29" i="15" s="1" a="1"/>
  <c r="O29" i="15" s="1"/>
  <c r="K79" i="15"/>
  <c r="O79" i="15" s="1" a="1"/>
  <c r="O79" i="15" s="1"/>
  <c r="L64" i="15"/>
  <c r="K22" i="15"/>
  <c r="O22" i="15" s="1" a="1"/>
  <c r="O22" i="15" s="1"/>
  <c r="AF46" i="15"/>
  <c r="K151" i="15"/>
  <c r="O151" i="15" s="1" a="1"/>
  <c r="O151" i="15" s="1"/>
  <c r="K121" i="15"/>
  <c r="O121" i="15" s="1" a="1"/>
  <c r="O121" i="15" s="1"/>
  <c r="K55" i="15"/>
  <c r="O55" i="15" s="1" a="1"/>
  <c r="O55" i="15" s="1"/>
  <c r="L78" i="15"/>
  <c r="AE39" i="15"/>
  <c r="AI39" i="15" s="1" a="1"/>
  <c r="AI39" i="15" s="1"/>
  <c r="K46" i="15"/>
  <c r="O46" i="15" s="1" a="1"/>
  <c r="O46" i="15" s="1"/>
  <c r="AZ55" i="15"/>
  <c r="AE25" i="15"/>
  <c r="AI25" i="15" s="1" a="1"/>
  <c r="AI25" i="15" s="1"/>
  <c r="K60" i="15"/>
  <c r="O60" i="15" s="1" a="1"/>
  <c r="O60" i="15" s="1"/>
  <c r="BS18" i="15"/>
  <c r="BW18" i="15" s="1" a="1"/>
  <c r="BW18" i="15" s="1"/>
  <c r="K44" i="15"/>
  <c r="O44" i="15" s="1" a="1"/>
  <c r="O44" i="15" s="1"/>
  <c r="BS25" i="15"/>
  <c r="BW25" i="15" s="1" a="1"/>
  <c r="BW25" i="15" s="1"/>
  <c r="L144" i="15"/>
  <c r="L98" i="15"/>
  <c r="L150" i="15"/>
  <c r="BT20" i="15"/>
  <c r="K162" i="15"/>
  <c r="O162" i="15" s="1" a="1"/>
  <c r="O162" i="15" s="1"/>
  <c r="K93" i="15"/>
  <c r="O93" i="15" s="1" a="1"/>
  <c r="O93" i="15" s="1"/>
  <c r="K91" i="15"/>
  <c r="O91" i="15" s="1" a="1"/>
  <c r="O91" i="15" s="1"/>
  <c r="AY18" i="15"/>
  <c r="BC18" i="15" s="1" a="1"/>
  <c r="BC18" i="15" s="1"/>
  <c r="AE47" i="15"/>
  <c r="AI47" i="15" s="1" a="1"/>
  <c r="AI47" i="15" s="1"/>
  <c r="L162" i="15"/>
  <c r="K144" i="15"/>
  <c r="O144" i="15" s="1" a="1"/>
  <c r="O144" i="15" s="1"/>
  <c r="K152" i="15"/>
  <c r="O152" i="15" s="1" a="1"/>
  <c r="O152" i="15" s="1"/>
  <c r="K45" i="15"/>
  <c r="O45" i="15" s="1" a="1"/>
  <c r="O45" i="15" s="1"/>
  <c r="AZ22" i="15"/>
  <c r="AY52" i="15"/>
  <c r="BC52" i="15" s="1" a="1"/>
  <c r="BC52" i="15" s="1"/>
  <c r="BS19" i="15"/>
  <c r="BW19" i="15" s="1" a="1"/>
  <c r="BW19" i="15" s="1"/>
  <c r="AZ44" i="15"/>
  <c r="AF41" i="15"/>
  <c r="AZ35" i="15"/>
  <c r="AE34" i="15"/>
  <c r="AI34" i="15" s="1" a="1"/>
  <c r="AI34" i="15" s="1"/>
  <c r="AF49" i="15"/>
  <c r="AE27" i="15"/>
  <c r="AI27" i="15" s="1" a="1"/>
  <c r="AI27" i="15" s="1"/>
  <c r="L129" i="15"/>
  <c r="AF42" i="15"/>
  <c r="L152" i="15"/>
  <c r="L90" i="15"/>
  <c r="K124" i="15"/>
  <c r="O124" i="15" s="1" a="1"/>
  <c r="O124" i="15" s="1"/>
  <c r="K63" i="15"/>
  <c r="O63" i="15" s="1" a="1"/>
  <c r="O63" i="15" s="1"/>
  <c r="K32" i="15"/>
  <c r="O32" i="15" s="1" a="1"/>
  <c r="O32" i="15" s="1"/>
  <c r="AE43" i="15"/>
  <c r="AI43" i="15" s="1" a="1"/>
  <c r="AI43" i="15" s="1"/>
  <c r="K54" i="15"/>
  <c r="O54" i="15" s="1" a="1"/>
  <c r="O54" i="15" s="1"/>
  <c r="L116" i="15"/>
  <c r="L147" i="15"/>
  <c r="K156" i="15"/>
  <c r="O156" i="15" s="1" a="1"/>
  <c r="O156" i="15" s="1"/>
  <c r="AF25" i="15"/>
  <c r="K85" i="15"/>
  <c r="O85" i="15" s="1" a="1"/>
  <c r="O85" i="15" s="1"/>
  <c r="L130" i="15"/>
  <c r="L22" i="15"/>
  <c r="L63" i="15"/>
  <c r="K77" i="15"/>
  <c r="O77" i="15" s="1" a="1"/>
  <c r="O77" i="15" s="1"/>
  <c r="L125" i="15"/>
  <c r="AE42" i="15"/>
  <c r="AI42" i="15" s="1" a="1"/>
  <c r="AI42" i="15" s="1"/>
  <c r="L103" i="15"/>
  <c r="L156" i="15"/>
  <c r="L91" i="15"/>
  <c r="K130" i="15"/>
  <c r="O130" i="15" s="1" a="1"/>
  <c r="O130" i="15" s="1"/>
  <c r="L108" i="15"/>
  <c r="K147" i="15"/>
  <c r="O147" i="15" s="1" a="1"/>
  <c r="O147" i="15" s="1"/>
  <c r="L60" i="15"/>
  <c r="K141" i="15"/>
  <c r="O141" i="15" s="1" a="1"/>
  <c r="O141" i="15" s="1"/>
  <c r="AZ28" i="15"/>
  <c r="L29" i="15"/>
  <c r="AZ54" i="15"/>
  <c r="L151" i="15"/>
  <c r="L33" i="15"/>
  <c r="L43" i="15"/>
  <c r="L121" i="15"/>
  <c r="K161" i="15"/>
  <c r="O161" i="15" s="1" a="1"/>
  <c r="O161" i="15" s="1"/>
  <c r="K71" i="15"/>
  <c r="O71" i="15" s="1" a="1"/>
  <c r="O71" i="15" s="1"/>
  <c r="K150" i="15"/>
  <c r="O150" i="15" s="1" a="1"/>
  <c r="O150" i="15" s="1"/>
  <c r="K139" i="15"/>
  <c r="O139" i="15" s="1" a="1"/>
  <c r="O139" i="15" s="1"/>
  <c r="AE33" i="15"/>
  <c r="AI33" i="15" s="1" a="1"/>
  <c r="AI33" i="15" s="1"/>
  <c r="L89" i="15"/>
  <c r="L87" i="15"/>
  <c r="AF29" i="15"/>
  <c r="L114" i="15"/>
  <c r="K53" i="15"/>
  <c r="O53" i="15" s="1" a="1"/>
  <c r="O53" i="15" s="1"/>
  <c r="K34" i="15"/>
  <c r="O34" i="15" s="1" a="1"/>
  <c r="O34" i="15" s="1"/>
  <c r="L140" i="15"/>
  <c r="L99" i="15"/>
  <c r="L120" i="15"/>
  <c r="L112" i="15"/>
  <c r="L136" i="15"/>
  <c r="L80" i="15"/>
  <c r="K108" i="15"/>
  <c r="O108" i="15" s="1" a="1"/>
  <c r="O108" i="15" s="1"/>
  <c r="L73" i="15"/>
  <c r="K154" i="15"/>
  <c r="O154" i="15" s="1" a="1"/>
  <c r="O154" i="15" s="1"/>
  <c r="L82" i="15"/>
  <c r="L81" i="15"/>
  <c r="L132" i="15"/>
  <c r="O134" i="15" a="1"/>
  <c r="O134" i="15" s="1"/>
  <c r="O68" i="15" a="1"/>
  <c r="O68" i="15" s="1"/>
  <c r="O110" i="15" a="1"/>
  <c r="O110" i="15" s="1"/>
  <c r="O158" i="15" a="1"/>
  <c r="O158" i="15" s="1"/>
  <c r="O131" i="15" a="1"/>
  <c r="O131" i="15" s="1"/>
  <c r="O138" i="15" a="1"/>
  <c r="O138" i="15" s="1"/>
  <c r="AZ60" i="15"/>
  <c r="AZ24" i="15"/>
  <c r="AY42" i="15"/>
  <c r="BC42" i="15" s="1" a="1"/>
  <c r="BC42" i="15" s="1"/>
  <c r="AZ32" i="15"/>
  <c r="AZ20" i="15"/>
  <c r="AY34" i="15"/>
  <c r="BC34" i="15" s="1" a="1"/>
  <c r="BC34" i="15" s="1"/>
  <c r="AY49" i="15"/>
  <c r="BC49" i="15" s="1" a="1"/>
  <c r="BC49" i="15" s="1"/>
  <c r="AZ37" i="15"/>
  <c r="AZ50" i="15"/>
  <c r="AY21" i="15"/>
  <c r="BC21" i="15" s="1" a="1"/>
  <c r="BC21" i="15" s="1"/>
  <c r="AY56" i="15"/>
  <c r="BC56" i="15" s="1" a="1"/>
  <c r="BC56" i="15" s="1"/>
  <c r="AZ59" i="15"/>
  <c r="AY40" i="15"/>
  <c r="BC40" i="15" s="1" a="1"/>
  <c r="BC40" i="15" s="1"/>
  <c r="AY31" i="15"/>
  <c r="BC31" i="15" s="1" a="1"/>
  <c r="BC31" i="15" s="1"/>
  <c r="AZ46" i="15"/>
  <c r="AY33" i="15"/>
  <c r="BC33" i="15" s="1" a="1"/>
  <c r="BC33" i="15" s="1"/>
  <c r="AY29" i="15"/>
  <c r="BC29" i="15" s="1" a="1"/>
  <c r="BC29" i="15" s="1"/>
  <c r="AY41" i="15"/>
  <c r="BC41" i="15" s="1" a="1"/>
  <c r="BC41" i="15" s="1"/>
  <c r="AY45" i="15"/>
  <c r="BC45" i="15" s="1" a="1"/>
  <c r="BC45" i="15" s="1"/>
  <c r="AZ26" i="15"/>
  <c r="AY61" i="15"/>
  <c r="BC61" i="15" s="1" a="1"/>
  <c r="BC61" i="15" s="1"/>
  <c r="AY39" i="15"/>
  <c r="BC39" i="15" s="1" a="1"/>
  <c r="BC39" i="15" s="1"/>
  <c r="AZ41" i="15"/>
  <c r="AY59" i="15"/>
  <c r="BC59" i="15" s="1" a="1"/>
  <c r="BC59" i="15" s="1"/>
  <c r="AY37" i="15"/>
  <c r="BC37" i="15" s="1" a="1"/>
  <c r="BC37" i="15" s="1"/>
  <c r="AZ38" i="15"/>
  <c r="AY23" i="15"/>
  <c r="BC23" i="15" s="1" a="1"/>
  <c r="BC23" i="15" s="1"/>
  <c r="AE18" i="15"/>
  <c r="AI18" i="15" s="1" a="1"/>
  <c r="AI18" i="15" s="1"/>
  <c r="AE30" i="15"/>
  <c r="AI30" i="15" s="1" a="1"/>
  <c r="AI30" i="15" s="1"/>
  <c r="AF48" i="15"/>
  <c r="L65" i="15"/>
  <c r="L51" i="15"/>
  <c r="L141" i="15"/>
  <c r="L30" i="15"/>
  <c r="K109" i="15"/>
  <c r="K159" i="15"/>
  <c r="K92" i="15"/>
  <c r="L128" i="15"/>
  <c r="K128" i="15"/>
  <c r="K19" i="15"/>
  <c r="O19" i="15" s="1" a="1"/>
  <c r="O19" i="15" s="1"/>
  <c r="K135" i="15"/>
  <c r="K42" i="15"/>
  <c r="O42" i="15" s="1" a="1"/>
  <c r="O42" i="15" s="1"/>
  <c r="L124" i="15"/>
  <c r="L23" i="15"/>
  <c r="L133" i="15"/>
  <c r="L40" i="15"/>
  <c r="L84" i="15"/>
  <c r="AY44" i="15"/>
  <c r="BC44" i="15" s="1" a="1"/>
  <c r="BC44" i="15" s="1"/>
  <c r="AZ65" i="15"/>
  <c r="AE19" i="15"/>
  <c r="AI19" i="15" s="1" a="1"/>
  <c r="AI19" i="15" s="1"/>
  <c r="K36" i="15"/>
  <c r="L49" i="15"/>
  <c r="K39" i="15"/>
  <c r="K27" i="15"/>
  <c r="O27" i="15" s="1" a="1"/>
  <c r="O27" i="15" s="1"/>
  <c r="AE22" i="15"/>
  <c r="AI22" i="15" s="1" a="1"/>
  <c r="AI22" i="15" s="1"/>
  <c r="L53" i="15"/>
  <c r="AE49" i="15"/>
  <c r="AI49" i="15" s="1" a="1"/>
  <c r="AI49" i="15" s="1"/>
  <c r="L35" i="15"/>
  <c r="K41" i="15"/>
  <c r="K84" i="15"/>
  <c r="AY30" i="15"/>
  <c r="BC30" i="15" s="1" a="1"/>
  <c r="BC30" i="15" s="1"/>
  <c r="AE37" i="15"/>
  <c r="AI37" i="15" s="1" a="1"/>
  <c r="AI37" i="15" s="1"/>
  <c r="AF32" i="15"/>
  <c r="L44" i="15"/>
  <c r="K111" i="15"/>
  <c r="L34" i="15"/>
  <c r="K66" i="15"/>
  <c r="AZ53" i="15"/>
  <c r="L117" i="15"/>
  <c r="K157" i="15"/>
  <c r="O157" i="15" s="1" a="1"/>
  <c r="O157" i="15" s="1"/>
  <c r="AY57" i="15"/>
  <c r="BC57" i="15" s="1" a="1"/>
  <c r="BC57" i="15" s="1"/>
  <c r="K94" i="15"/>
  <c r="O94" i="15" s="1" a="1"/>
  <c r="O94" i="15" s="1"/>
  <c r="K103" i="15"/>
  <c r="AE23" i="15"/>
  <c r="AI23" i="15" s="1" a="1"/>
  <c r="AI23" i="15" s="1"/>
  <c r="AZ51" i="15"/>
  <c r="K89" i="15"/>
  <c r="AF26" i="15"/>
  <c r="AZ27" i="15"/>
  <c r="K40" i="15"/>
  <c r="K127" i="15"/>
  <c r="K76" i="15"/>
  <c r="AF21" i="15"/>
  <c r="AY27" i="15"/>
  <c r="BC27" i="15" s="1" a="1"/>
  <c r="BC27" i="15" s="1"/>
  <c r="L57" i="15"/>
  <c r="AF30" i="15"/>
  <c r="L119" i="15"/>
  <c r="K126" i="15"/>
  <c r="L94" i="15"/>
  <c r="L158" i="15"/>
  <c r="AZ45" i="15"/>
  <c r="AZ21" i="15"/>
  <c r="L202" i="15"/>
  <c r="L187" i="15"/>
  <c r="L143" i="15"/>
  <c r="L32" i="15"/>
  <c r="AZ29" i="15"/>
  <c r="AF37" i="15"/>
  <c r="K56" i="15"/>
  <c r="AF27" i="15"/>
  <c r="L31" i="15"/>
  <c r="BT22" i="15"/>
  <c r="AF39" i="15"/>
  <c r="AE21" i="15"/>
  <c r="AI21" i="15" s="1" a="1"/>
  <c r="AI21" i="15" s="1"/>
  <c r="AY24" i="15"/>
  <c r="BC24" i="15" s="1" a="1"/>
  <c r="BC24" i="15" s="1"/>
  <c r="AZ61" i="15"/>
  <c r="AY60" i="15"/>
  <c r="BC60" i="15" s="1" a="1"/>
  <c r="BC60" i="15" s="1"/>
  <c r="L93" i="15"/>
  <c r="AZ30" i="15"/>
  <c r="AE32" i="15"/>
  <c r="AI32" i="15" s="1" a="1"/>
  <c r="AI32" i="15" s="1"/>
  <c r="AZ40" i="15"/>
  <c r="K129" i="15"/>
  <c r="AZ57" i="15"/>
  <c r="K30" i="15"/>
  <c r="L19" i="15"/>
  <c r="L71" i="15"/>
  <c r="AZ42" i="15"/>
  <c r="AY20" i="15"/>
  <c r="BC20" i="15" s="1" a="1"/>
  <c r="BC20" i="15" s="1"/>
  <c r="AY38" i="15"/>
  <c r="BC38" i="15" s="1" a="1"/>
  <c r="BC38" i="15" s="1"/>
  <c r="K38" i="15"/>
  <c r="L109" i="15"/>
  <c r="L188" i="15"/>
  <c r="K35" i="15"/>
  <c r="L186" i="15"/>
  <c r="L55" i="15"/>
  <c r="AY50" i="15"/>
  <c r="BC50" i="15" s="1" a="1"/>
  <c r="BC50" i="15" s="1"/>
  <c r="K18" i="15"/>
  <c r="K65" i="15"/>
  <c r="AY46" i="15"/>
  <c r="BC46" i="15" s="1" a="1"/>
  <c r="BC46" i="15" s="1"/>
  <c r="L127" i="15"/>
  <c r="K23" i="15"/>
  <c r="L42" i="15"/>
  <c r="L137" i="15"/>
  <c r="AF19" i="15"/>
  <c r="L27" i="15"/>
  <c r="K133" i="15"/>
  <c r="AF33" i="15"/>
  <c r="AF34" i="15"/>
  <c r="L25" i="15"/>
  <c r="K70" i="15"/>
  <c r="AZ34" i="15"/>
  <c r="K132" i="15"/>
  <c r="K102" i="15"/>
  <c r="K58" i="15"/>
  <c r="AY53" i="15"/>
  <c r="BC53" i="15" s="1" a="1"/>
  <c r="BC53" i="15" s="1"/>
  <c r="L111" i="15"/>
  <c r="AZ49" i="15"/>
  <c r="K107" i="15"/>
  <c r="L92" i="15"/>
  <c r="AE24" i="15"/>
  <c r="AI24" i="15" s="1" a="1"/>
  <c r="AI24" i="15" s="1"/>
  <c r="AE28" i="15"/>
  <c r="AI28" i="15" s="1" a="1"/>
  <c r="AI28" i="15" s="1"/>
  <c r="AY32" i="15"/>
  <c r="BC32" i="15" s="1" a="1"/>
  <c r="BC32" i="15" s="1"/>
  <c r="L154" i="15"/>
  <c r="L26" i="15"/>
  <c r="AY51" i="15"/>
  <c r="BC51" i="15" s="1" a="1"/>
  <c r="BC51" i="15" s="1"/>
  <c r="L157" i="15"/>
  <c r="AF23" i="15"/>
  <c r="AE26" i="15"/>
  <c r="AI26" i="15" s="1" a="1"/>
  <c r="AI26" i="15" s="1"/>
  <c r="AY64" i="15"/>
  <c r="BC64" i="15" s="1" a="1"/>
  <c r="BC64" i="15" s="1"/>
  <c r="L115" i="15"/>
  <c r="AY26" i="15"/>
  <c r="BC26" i="15" s="1" a="1"/>
  <c r="BC26" i="15" s="1"/>
  <c r="AZ39" i="15"/>
  <c r="K116" i="15"/>
  <c r="R171" i="15"/>
  <c r="R208" i="15"/>
  <c r="R195" i="15"/>
  <c r="R179" i="15"/>
  <c r="R146" i="15"/>
  <c r="R88" i="15"/>
  <c r="R173" i="15"/>
  <c r="R24" i="15"/>
  <c r="R175" i="15"/>
  <c r="R200" i="15"/>
  <c r="R183" i="15"/>
  <c r="R145" i="15"/>
  <c r="R189" i="15"/>
  <c r="R212" i="15"/>
  <c r="R168" i="15"/>
  <c r="R204" i="15"/>
  <c r="R165" i="15"/>
  <c r="R203" i="15"/>
  <c r="R210" i="15"/>
  <c r="R199" i="15"/>
  <c r="R155" i="15"/>
  <c r="R196" i="15"/>
  <c r="R166" i="15"/>
  <c r="R193" i="15"/>
  <c r="R185" i="15"/>
  <c r="R205" i="15"/>
  <c r="R182" i="15"/>
  <c r="R206" i="15"/>
  <c r="L148" i="15"/>
  <c r="BG50" i="15" l="1" a="1"/>
  <c r="BG50" i="15" s="1"/>
  <c r="BG48" i="15" a="1"/>
  <c r="BG48" i="15" s="1"/>
  <c r="AM52" i="15" a="1"/>
  <c r="AM52" i="15" s="1"/>
  <c r="AM19" i="15" a="1"/>
  <c r="AM19" i="15" s="1"/>
  <c r="BG40" i="15" a="1"/>
  <c r="BG40" i="15" s="1"/>
  <c r="AM44" i="15" a="1"/>
  <c r="AM44" i="15" s="1"/>
  <c r="BG34" i="15" a="1"/>
  <c r="BG34" i="15" s="1"/>
  <c r="BG60" i="15" a="1"/>
  <c r="BG60" i="15" s="1"/>
  <c r="BG28" i="15" a="1"/>
  <c r="BG28" i="15" s="1"/>
  <c r="AM43" i="15" a="1"/>
  <c r="AM43" i="15" s="1"/>
  <c r="AM35" i="15" a="1"/>
  <c r="AM35" i="15" s="1"/>
  <c r="AM51" i="15" a="1"/>
  <c r="AM51" i="15" s="1"/>
  <c r="AM50" i="15" a="1"/>
  <c r="AM50" i="15" s="1"/>
  <c r="BG41" i="15" a="1"/>
  <c r="BG41" i="15" s="1"/>
  <c r="AM39" i="15" a="1"/>
  <c r="AM39" i="15" s="1"/>
  <c r="AM45" i="15" a="1"/>
  <c r="AM45" i="15" s="1"/>
  <c r="AM46" i="15" a="1"/>
  <c r="AM46" i="15" s="1"/>
  <c r="AM48" i="15" a="1"/>
  <c r="AM48" i="15" s="1"/>
  <c r="BG54" i="15" a="1"/>
  <c r="BG54" i="15" s="1"/>
  <c r="BG21" i="15" a="1"/>
  <c r="BG21" i="15" s="1"/>
  <c r="BG47" i="15" a="1"/>
  <c r="BG47" i="15" s="1"/>
  <c r="BG68" i="15" a="1"/>
  <c r="BG68" i="15" s="1"/>
  <c r="BG70" i="15" a="1"/>
  <c r="BG70" i="15" s="1"/>
  <c r="AM21" i="15" a="1"/>
  <c r="AM21" i="15" s="1"/>
  <c r="BG57" i="15" a="1"/>
  <c r="BG57" i="15" s="1"/>
  <c r="BG23" i="15" a="1"/>
  <c r="BG23" i="15" s="1"/>
  <c r="BG20" i="15" a="1"/>
  <c r="BG20" i="15" s="1"/>
  <c r="BG56" i="15" a="1"/>
  <c r="BG56" i="15" s="1"/>
  <c r="BG51" i="15" a="1"/>
  <c r="BG51" i="15" s="1"/>
  <c r="AM40" i="15" a="1"/>
  <c r="AM40" i="15" s="1"/>
  <c r="BG63" i="15" a="1"/>
  <c r="BG63" i="15" s="1"/>
  <c r="AM18" i="15" a="1"/>
  <c r="AM18" i="15" s="1"/>
  <c r="AM27" i="15" a="1"/>
  <c r="AM27" i="15" s="1"/>
  <c r="BG43" i="15" a="1"/>
  <c r="BG43" i="15" s="1"/>
  <c r="BG66" i="15" a="1"/>
  <c r="BG66" i="15" s="1"/>
  <c r="BG64" i="15" a="1"/>
  <c r="BG64" i="15" s="1"/>
  <c r="AM33" i="15" a="1"/>
  <c r="AM33" i="15" s="1"/>
  <c r="AM30" i="15" a="1"/>
  <c r="AM30" i="15" s="1"/>
  <c r="BG33" i="15" a="1"/>
  <c r="BG33" i="15" s="1"/>
  <c r="BG31" i="15" a="1"/>
  <c r="BG31" i="15" s="1"/>
  <c r="BG22" i="15" a="1"/>
  <c r="BG22" i="15" s="1"/>
  <c r="BG58" i="15" a="1"/>
  <c r="BG58" i="15" s="1"/>
  <c r="R74" i="15"/>
  <c r="AM47" i="15" a="1"/>
  <c r="AM47" i="15" s="1"/>
  <c r="BG18" i="15" a="1"/>
  <c r="BG18" i="15" s="1"/>
  <c r="BG36" i="15" a="1"/>
  <c r="BG36" i="15" s="1"/>
  <c r="AM28" i="15" a="1"/>
  <c r="AM28" i="15" s="1"/>
  <c r="BG59" i="15" a="1"/>
  <c r="BG59" i="15" s="1"/>
  <c r="AM36" i="15" a="1"/>
  <c r="AM36" i="15" s="1"/>
  <c r="AM41" i="15" a="1"/>
  <c r="AM41" i="15" s="1"/>
  <c r="BG69" i="15" a="1"/>
  <c r="BG69" i="15" s="1"/>
  <c r="BG71" i="15" a="1"/>
  <c r="BG71" i="15" s="1"/>
  <c r="BG19" i="15" a="1"/>
  <c r="BG19" i="15" s="1"/>
  <c r="BG67" i="15" a="1"/>
  <c r="BG67" i="15" s="1"/>
  <c r="BG26" i="15" a="1"/>
  <c r="BG26" i="15" s="1"/>
  <c r="BG42" i="15" a="1"/>
  <c r="BG42" i="15" s="1"/>
  <c r="AM37" i="15" a="1"/>
  <c r="AM37" i="15" s="1"/>
  <c r="BG38" i="15" a="1"/>
  <c r="BG38" i="15" s="1"/>
  <c r="BG65" i="15" a="1"/>
  <c r="BG65" i="15" s="1"/>
  <c r="AM24" i="15" a="1"/>
  <c r="AM24" i="15" s="1"/>
  <c r="AM20" i="15" a="1"/>
  <c r="AM20" i="15" s="1"/>
  <c r="AM26" i="15" a="1"/>
  <c r="AM26" i="15" s="1"/>
  <c r="BG49" i="15" a="1"/>
  <c r="BG49" i="15" s="1"/>
  <c r="BG25" i="15" a="1"/>
  <c r="BG25" i="15" s="1"/>
  <c r="BG35" i="15" a="1"/>
  <c r="BG35" i="15" s="1"/>
  <c r="AM29" i="15" a="1"/>
  <c r="AM29" i="15" s="1"/>
  <c r="AM42" i="15" a="1"/>
  <c r="AM42" i="15" s="1"/>
  <c r="AM34" i="15" a="1"/>
  <c r="AM34" i="15" s="1"/>
  <c r="AM49" i="15" a="1"/>
  <c r="AM49" i="15" s="1"/>
  <c r="BG61" i="15" a="1"/>
  <c r="BG61" i="15" s="1"/>
  <c r="BG39" i="15" a="1"/>
  <c r="BG39" i="15" s="1"/>
  <c r="BG32" i="15" a="1"/>
  <c r="BG32" i="15" s="1"/>
  <c r="BG29" i="15" a="1"/>
  <c r="BG29" i="15" s="1"/>
  <c r="BG44" i="15" a="1"/>
  <c r="BG44" i="15" s="1"/>
  <c r="AM23" i="15" a="1"/>
  <c r="AM23" i="15" s="1"/>
  <c r="BG37" i="15" a="1"/>
  <c r="BG37" i="15" s="1"/>
  <c r="BG30" i="15" a="1"/>
  <c r="BG30" i="15" s="1"/>
  <c r="BG46" i="15" a="1"/>
  <c r="BG46" i="15" s="1"/>
  <c r="AM32" i="15" a="1"/>
  <c r="AM32" i="15" s="1"/>
  <c r="AM22" i="15" a="1"/>
  <c r="AM22" i="15" s="1"/>
  <c r="BG45" i="15" a="1"/>
  <c r="BG45" i="15" s="1"/>
  <c r="BG52" i="15" a="1"/>
  <c r="BG52" i="15" s="1"/>
  <c r="BG62" i="15" a="1"/>
  <c r="BG62" i="15" s="1"/>
  <c r="BG53" i="15" a="1"/>
  <c r="BG53" i="15" s="1"/>
  <c r="BG27" i="15" a="1"/>
  <c r="BG27" i="15" s="1"/>
  <c r="AM25" i="15" a="1"/>
  <c r="AM25" i="15" s="1"/>
  <c r="AM38" i="15" a="1"/>
  <c r="AM38" i="15" s="1"/>
  <c r="BG55" i="15" a="1"/>
  <c r="BG55" i="15" s="1"/>
  <c r="BG24" i="15" a="1"/>
  <c r="BG24" i="15" s="1"/>
  <c r="AM31" i="15" a="1"/>
  <c r="AM31" i="15" s="1"/>
  <c r="R47" i="15"/>
  <c r="R98" i="15"/>
  <c r="BZ24" i="15"/>
  <c r="R37" i="15"/>
  <c r="R61" i="15"/>
  <c r="R72" i="15"/>
  <c r="R113" i="15"/>
  <c r="R197" i="15"/>
  <c r="R50" i="15"/>
  <c r="R181" i="15"/>
  <c r="R96" i="15"/>
  <c r="R153" i="15"/>
  <c r="R177" i="15"/>
  <c r="R82" i="15"/>
  <c r="R90" i="15"/>
  <c r="R78" i="15"/>
  <c r="R142" i="15"/>
  <c r="R33" i="15"/>
  <c r="R207" i="15"/>
  <c r="R192" i="15"/>
  <c r="R51" i="15"/>
  <c r="R73" i="15"/>
  <c r="R180" i="15"/>
  <c r="R149" i="15"/>
  <c r="R176" i="15"/>
  <c r="R140" i="15"/>
  <c r="R184" i="15"/>
  <c r="R169" i="15"/>
  <c r="R174" i="15"/>
  <c r="R21" i="15"/>
  <c r="R178" i="15"/>
  <c r="R75" i="15"/>
  <c r="R209" i="15"/>
  <c r="R190" i="15"/>
  <c r="R198" i="15"/>
  <c r="R194" i="15"/>
  <c r="R211" i="15"/>
  <c r="R201" i="15"/>
  <c r="R172" i="15"/>
  <c r="R167" i="15"/>
  <c r="R114" i="15"/>
  <c r="R191" i="15"/>
  <c r="R170" i="15"/>
  <c r="R28" i="15"/>
  <c r="R95" i="15"/>
  <c r="R123" i="15"/>
  <c r="R160" i="15"/>
  <c r="R62" i="15"/>
  <c r="BZ20" i="15"/>
  <c r="R97" i="15"/>
  <c r="R121" i="15"/>
  <c r="R49" i="15"/>
  <c r="R164" i="15"/>
  <c r="R151" i="15"/>
  <c r="R52" i="15"/>
  <c r="R64" i="15"/>
  <c r="R59" i="15"/>
  <c r="R22" i="15"/>
  <c r="R60" i="15"/>
  <c r="R91" i="15"/>
  <c r="R144" i="15"/>
  <c r="R63" i="15"/>
  <c r="R124" i="15"/>
  <c r="BZ18" i="15"/>
  <c r="R147" i="15"/>
  <c r="R152" i="15"/>
  <c r="R130" i="15"/>
  <c r="R77" i="15"/>
  <c r="BZ19" i="15"/>
  <c r="R139" i="15"/>
  <c r="R150" i="15"/>
  <c r="BZ25" i="15"/>
  <c r="BF68" i="15"/>
  <c r="AL28" i="15"/>
  <c r="BF21" i="15"/>
  <c r="BF31" i="15"/>
  <c r="BF22" i="15"/>
  <c r="AL29" i="15"/>
  <c r="BF42" i="15"/>
  <c r="BF69" i="15"/>
  <c r="BF54" i="15"/>
  <c r="BF18" i="15"/>
  <c r="BF67" i="15"/>
  <c r="BF43" i="15"/>
  <c r="BF58" i="15"/>
  <c r="BF70" i="15"/>
  <c r="AL40" i="15"/>
  <c r="AL23" i="15"/>
  <c r="AL52" i="15"/>
  <c r="R54" i="15"/>
  <c r="R85" i="15"/>
  <c r="R79" i="15"/>
  <c r="R161" i="15"/>
  <c r="R118" i="15"/>
  <c r="R163" i="15"/>
  <c r="R45" i="15"/>
  <c r="R69" i="15"/>
  <c r="R156" i="15"/>
  <c r="R20" i="15"/>
  <c r="AL48" i="15"/>
  <c r="AL46" i="15"/>
  <c r="R106" i="15"/>
  <c r="R125" i="15"/>
  <c r="R141" i="15"/>
  <c r="R86" i="15"/>
  <c r="R120" i="15"/>
  <c r="R162" i="15"/>
  <c r="R81" i="15"/>
  <c r="R112" i="15"/>
  <c r="R43" i="15"/>
  <c r="R100" i="15"/>
  <c r="R134" i="15"/>
  <c r="R122" i="15"/>
  <c r="R99" i="15"/>
  <c r="R68" i="15"/>
  <c r="R29" i="15"/>
  <c r="R87" i="15"/>
  <c r="R108" i="15"/>
  <c r="R80" i="15"/>
  <c r="R131" i="15"/>
  <c r="R136" i="15"/>
  <c r="R67" i="15"/>
  <c r="R101" i="15"/>
  <c r="R138" i="15"/>
  <c r="R46" i="15"/>
  <c r="R110" i="15"/>
  <c r="AL31" i="15"/>
  <c r="BF32" i="15"/>
  <c r="O111" i="15" a="1"/>
  <c r="O111" i="15" s="1"/>
  <c r="O35" i="15" a="1"/>
  <c r="O35" i="15" s="1"/>
  <c r="O92" i="15" a="1"/>
  <c r="O92" i="15" s="1"/>
  <c r="O109" i="15" a="1"/>
  <c r="O109" i="15" s="1"/>
  <c r="O127" i="15" a="1"/>
  <c r="O127" i="15" s="1"/>
  <c r="O58" i="15" a="1"/>
  <c r="O58" i="15" s="1"/>
  <c r="O38" i="15" a="1"/>
  <c r="O38" i="15" s="1"/>
  <c r="O84" i="15" a="1"/>
  <c r="O84" i="15" s="1"/>
  <c r="O128" i="15" a="1"/>
  <c r="O128" i="15" s="1"/>
  <c r="O23" i="15" a="1"/>
  <c r="O23" i="15" s="1"/>
  <c r="O132" i="15" a="1"/>
  <c r="O132" i="15" s="1"/>
  <c r="O41" i="15" a="1"/>
  <c r="O41" i="15" s="1"/>
  <c r="O159" i="15" a="1"/>
  <c r="O159" i="15" s="1"/>
  <c r="O102" i="15" a="1"/>
  <c r="O102" i="15" s="1"/>
  <c r="O116" i="15" a="1"/>
  <c r="O116" i="15" s="1"/>
  <c r="O65" i="15" a="1"/>
  <c r="O65" i="15" s="1"/>
  <c r="O18" i="15" a="1"/>
  <c r="O18" i="15" s="1"/>
  <c r="O103" i="15" a="1"/>
  <c r="O103" i="15" s="1"/>
  <c r="O70" i="15" a="1"/>
  <c r="O70" i="15" s="1"/>
  <c r="O76" i="15" a="1"/>
  <c r="O76" i="15" s="1"/>
  <c r="O40" i="15" a="1"/>
  <c r="O40" i="15" s="1"/>
  <c r="O66" i="15" a="1"/>
  <c r="O66" i="15" s="1"/>
  <c r="O36" i="15" a="1"/>
  <c r="O36" i="15" s="1"/>
  <c r="O30" i="15" a="1"/>
  <c r="O30" i="15" s="1"/>
  <c r="O107" i="15" a="1"/>
  <c r="O107" i="15" s="1"/>
  <c r="O133" i="15" a="1"/>
  <c r="O133" i="15" s="1"/>
  <c r="O129" i="15" a="1"/>
  <c r="O129" i="15" s="1"/>
  <c r="O89" i="15" a="1"/>
  <c r="O89" i="15" s="1"/>
  <c r="O39" i="15" a="1"/>
  <c r="O39" i="15" s="1"/>
  <c r="O135" i="15" a="1"/>
  <c r="O135" i="15" s="1"/>
  <c r="O56" i="15" a="1"/>
  <c r="O56" i="15" s="1"/>
  <c r="O126" i="15" a="1"/>
  <c r="O126" i="15" s="1"/>
  <c r="AL37" i="15"/>
  <c r="R25" i="15"/>
  <c r="R71" i="15"/>
  <c r="R202" i="15"/>
  <c r="R53" i="15"/>
  <c r="R19" i="15"/>
  <c r="R115" i="15"/>
  <c r="R55" i="15"/>
  <c r="R34" i="15"/>
  <c r="R186" i="15"/>
  <c r="R158" i="15"/>
  <c r="R27" i="15"/>
  <c r="R31" i="15"/>
  <c r="R94" i="15"/>
  <c r="R44" i="15"/>
  <c r="R157" i="15"/>
  <c r="R137" i="15"/>
  <c r="R188" i="15"/>
  <c r="R119" i="15"/>
  <c r="R42" i="15"/>
  <c r="R26" i="15"/>
  <c r="R93" i="15"/>
  <c r="R57" i="15"/>
  <c r="R154" i="15"/>
  <c r="R32" i="15"/>
  <c r="R143" i="15"/>
  <c r="R187" i="15"/>
  <c r="R117" i="15"/>
  <c r="BZ22" i="15"/>
  <c r="BZ21" i="15"/>
  <c r="BZ23" i="15"/>
  <c r="AL33" i="15"/>
  <c r="AL32" i="15"/>
  <c r="AL51" i="15"/>
  <c r="AL30" i="15"/>
  <c r="AL25" i="15"/>
  <c r="R148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101" i="15" l="1" a="1"/>
  <c r="S101" i="15" s="1"/>
  <c r="S54" i="15" a="1"/>
  <c r="S54" i="15" s="1"/>
  <c r="S34" i="15" a="1"/>
  <c r="S34" i="15" s="1"/>
  <c r="S46" i="15" a="1"/>
  <c r="S46" i="15" s="1"/>
  <c r="S70" i="15" a="1"/>
  <c r="S70" i="15" s="1"/>
  <c r="S141" i="15" a="1"/>
  <c r="S141" i="15" s="1"/>
  <c r="S88" i="15" a="1"/>
  <c r="S88" i="15" s="1"/>
  <c r="S90" i="15" a="1"/>
  <c r="S90" i="15" s="1"/>
  <c r="S103" i="15" a="1"/>
  <c r="S103" i="15" s="1"/>
  <c r="S25" i="15" a="1"/>
  <c r="S25" i="15" s="1"/>
  <c r="S49" i="15" a="1"/>
  <c r="S49" i="15" s="1"/>
  <c r="S143" i="15" a="1"/>
  <c r="S143" i="15" s="1"/>
  <c r="S85" i="15" a="1"/>
  <c r="S85" i="15" s="1"/>
  <c r="S201" i="15" a="1"/>
  <c r="S201" i="15" s="1"/>
  <c r="S47" i="15" a="1"/>
  <c r="S47" i="15" s="1"/>
  <c r="S51" i="15" a="1"/>
  <c r="S51" i="15" s="1"/>
  <c r="S162" i="15" a="1"/>
  <c r="S162" i="15" s="1"/>
  <c r="S20" i="15" a="1"/>
  <c r="S20" i="15" s="1"/>
  <c r="S123" i="15" a="1"/>
  <c r="S123" i="15" s="1"/>
  <c r="S131" i="15" a="1"/>
  <c r="S131" i="15" s="1"/>
  <c r="S22" i="15" a="1"/>
  <c r="S22" i="15" s="1"/>
  <c r="S64" i="15" a="1"/>
  <c r="S64" i="15" s="1"/>
  <c r="S18" i="15" a="1"/>
  <c r="S18" i="15" s="1"/>
  <c r="S206" i="15" a="1"/>
  <c r="S206" i="15" s="1"/>
  <c r="S196" i="15" a="1"/>
  <c r="S196" i="15" s="1"/>
  <c r="S203" i="15" a="1"/>
  <c r="S203" i="15" s="1"/>
  <c r="S195" i="15" a="1"/>
  <c r="S195" i="15" s="1"/>
  <c r="S183" i="15" a="1"/>
  <c r="S183" i="15" s="1"/>
  <c r="S189" i="15" a="1"/>
  <c r="S189" i="15" s="1"/>
  <c r="S171" i="15" a="1"/>
  <c r="S171" i="15" s="1"/>
  <c r="S200" i="15" a="1"/>
  <c r="S200" i="15" s="1"/>
  <c r="S208" i="15" a="1"/>
  <c r="S208" i="15" s="1"/>
  <c r="S204" i="15" a="1"/>
  <c r="S204" i="15" s="1"/>
  <c r="S199" i="15" a="1"/>
  <c r="S199" i="15" s="1"/>
  <c r="S179" i="15" a="1"/>
  <c r="S179" i="15" s="1"/>
  <c r="S24" i="15" a="1"/>
  <c r="S24" i="15" s="1"/>
  <c r="S182" i="15" a="1"/>
  <c r="S182" i="15" s="1"/>
  <c r="S166" i="15" a="1"/>
  <c r="S166" i="15" s="1"/>
  <c r="S212" i="15" a="1"/>
  <c r="S212" i="15" s="1"/>
  <c r="S173" i="15" a="1"/>
  <c r="S173" i="15" s="1"/>
  <c r="S146" i="15" a="1"/>
  <c r="S146" i="15" s="1"/>
  <c r="S105" i="15" a="1"/>
  <c r="S105" i="15" s="1"/>
  <c r="S193" i="15" a="1"/>
  <c r="S193" i="15" s="1"/>
  <c r="S205" i="15" a="1"/>
  <c r="S205" i="15" s="1"/>
  <c r="S104" i="15" a="1"/>
  <c r="S104" i="15" s="1"/>
  <c r="S165" i="15" a="1"/>
  <c r="S165" i="15" s="1"/>
  <c r="S155" i="15" a="1"/>
  <c r="S155" i="15" s="1"/>
  <c r="S83" i="15" a="1"/>
  <c r="S83" i="15" s="1"/>
  <c r="S168" i="15" a="1"/>
  <c r="S168" i="15" s="1"/>
  <c r="S185" i="15" a="1"/>
  <c r="S185" i="15" s="1"/>
  <c r="S210" i="15" a="1"/>
  <c r="S210" i="15" s="1"/>
  <c r="S48" i="15" a="1"/>
  <c r="S48" i="15" s="1"/>
  <c r="S62" i="15" a="1"/>
  <c r="S62" i="15" s="1"/>
  <c r="S160" i="15" a="1"/>
  <c r="S160" i="15" s="1"/>
  <c r="S96" i="15" a="1"/>
  <c r="S96" i="15" s="1"/>
  <c r="S50" i="15" a="1"/>
  <c r="S50" i="15" s="1"/>
  <c r="S136" i="15" a="1"/>
  <c r="S136" i="15" s="1"/>
  <c r="S71" i="15" a="1"/>
  <c r="S71" i="15" s="1"/>
  <c r="S61" i="15" a="1"/>
  <c r="S61" i="15" s="1"/>
  <c r="S211" i="15" a="1"/>
  <c r="S211" i="15" s="1"/>
  <c r="S152" i="15" a="1"/>
  <c r="S152" i="15" s="1"/>
  <c r="S106" i="15" a="1"/>
  <c r="S106" i="15" s="1"/>
  <c r="S73" i="15" a="1"/>
  <c r="S73" i="15" s="1"/>
  <c r="S65" i="15" a="1"/>
  <c r="S65" i="15" s="1"/>
  <c r="S137" i="15" a="1"/>
  <c r="S137" i="15" s="1"/>
  <c r="S60" i="15" a="1"/>
  <c r="S60" i="15" s="1"/>
  <c r="S59" i="15" a="1"/>
  <c r="S59" i="15" s="1"/>
  <c r="S42" i="15" a="1"/>
  <c r="S42" i="15" s="1"/>
  <c r="S186" i="15" a="1"/>
  <c r="S186" i="15" s="1"/>
  <c r="S177" i="15" a="1"/>
  <c r="S177" i="15" s="1"/>
  <c r="S95" i="15" a="1"/>
  <c r="S95" i="15" s="1"/>
  <c r="S112" i="15" a="1"/>
  <c r="S112" i="15" s="1"/>
  <c r="S117" i="15" a="1"/>
  <c r="S117" i="15" s="1"/>
  <c r="S57" i="15" a="1"/>
  <c r="S57" i="15" s="1"/>
  <c r="S116" i="15" a="1"/>
  <c r="S116" i="15" s="1"/>
  <c r="S156" i="15" a="1"/>
  <c r="S156" i="15" s="1"/>
  <c r="S87" i="15" a="1"/>
  <c r="S87" i="15" s="1"/>
  <c r="S31" i="15" a="1"/>
  <c r="S31" i="15" s="1"/>
  <c r="S149" i="15" a="1"/>
  <c r="S149" i="15" s="1"/>
  <c r="S170" i="15" a="1"/>
  <c r="S170" i="15" s="1"/>
  <c r="S147" i="15" a="1"/>
  <c r="S147" i="15" s="1"/>
  <c r="S126" i="15" a="1"/>
  <c r="S126" i="15" s="1"/>
  <c r="S102" i="15" a="1"/>
  <c r="S102" i="15" s="1"/>
  <c r="S52" i="15" a="1"/>
  <c r="S52" i="15" s="1"/>
  <c r="S140" i="15" a="1"/>
  <c r="S140" i="15" s="1"/>
  <c r="S180" i="15" a="1"/>
  <c r="S180" i="15" s="1"/>
  <c r="S191" i="15" a="1"/>
  <c r="S191" i="15" s="1"/>
  <c r="S158" i="15" a="1"/>
  <c r="S158" i="15" s="1"/>
  <c r="S56" i="15" a="1"/>
  <c r="S56" i="15" s="1"/>
  <c r="S159" i="15" a="1"/>
  <c r="S159" i="15" s="1"/>
  <c r="S150" i="15" a="1"/>
  <c r="S150" i="15" s="1"/>
  <c r="S172" i="15" a="1"/>
  <c r="S172" i="15" s="1"/>
  <c r="S184" i="15" a="1"/>
  <c r="S184" i="15" s="1"/>
  <c r="S164" i="15" a="1"/>
  <c r="S164" i="15" s="1"/>
  <c r="S77" i="15" a="1"/>
  <c r="S77" i="15" s="1"/>
  <c r="S43" i="15" a="1"/>
  <c r="S43" i="15" s="1"/>
  <c r="S135" i="15" a="1"/>
  <c r="S135" i="15" s="1"/>
  <c r="S79" i="15" a="1"/>
  <c r="S79" i="15" s="1"/>
  <c r="S130" i="15" a="1"/>
  <c r="S130" i="15" s="1"/>
  <c r="S144" i="15" a="1"/>
  <c r="S144" i="15" s="1"/>
  <c r="S157" i="15" a="1"/>
  <c r="S157" i="15" s="1"/>
  <c r="S41" i="15" a="1"/>
  <c r="S41" i="15" s="1"/>
  <c r="S39" i="15" a="1"/>
  <c r="S39" i="15" s="1"/>
  <c r="S132" i="15" a="1"/>
  <c r="S132" i="15" s="1"/>
  <c r="S138" i="15" a="1"/>
  <c r="S138" i="15" s="1"/>
  <c r="S188" i="15" a="1"/>
  <c r="S188" i="15" s="1"/>
  <c r="S174" i="15" a="1"/>
  <c r="S174" i="15" s="1"/>
  <c r="S176" i="15" a="1"/>
  <c r="S176" i="15" s="1"/>
  <c r="S119" i="15" a="1"/>
  <c r="S119" i="15" s="1"/>
  <c r="S108" i="15" a="1"/>
  <c r="S108" i="15" s="1"/>
  <c r="S91" i="15" a="1"/>
  <c r="S91" i="15" s="1"/>
  <c r="S68" i="15" a="1"/>
  <c r="S68" i="15" s="1"/>
  <c r="S32" i="15" a="1"/>
  <c r="S32" i="15" s="1"/>
  <c r="S111" i="15" a="1"/>
  <c r="S111" i="15" s="1"/>
  <c r="S89" i="15" a="1"/>
  <c r="S89" i="15" s="1"/>
  <c r="S23" i="15" a="1"/>
  <c r="S23" i="15" s="1"/>
  <c r="S93" i="15" a="1"/>
  <c r="S93" i="15" s="1"/>
  <c r="S197" i="15" a="1"/>
  <c r="S197" i="15" s="1"/>
  <c r="S169" i="15" a="1"/>
  <c r="S169" i="15" s="1"/>
  <c r="S29" i="15" a="1"/>
  <c r="S29" i="15" s="1"/>
  <c r="S114" i="15" a="1"/>
  <c r="S114" i="15" s="1"/>
  <c r="S153" i="15" a="1"/>
  <c r="S153" i="15" s="1"/>
  <c r="S110" i="15" a="1"/>
  <c r="S110" i="15" s="1"/>
  <c r="S129" i="15" a="1"/>
  <c r="S129" i="15" s="1"/>
  <c r="S128" i="15" a="1"/>
  <c r="S128" i="15" s="1"/>
  <c r="S27" i="15" a="1"/>
  <c r="S27" i="15" s="1"/>
  <c r="S124" i="15" a="1"/>
  <c r="S124" i="15" s="1"/>
  <c r="S148" i="15" a="1"/>
  <c r="S148" i="15" s="1"/>
  <c r="S53" i="15" a="1"/>
  <c r="S53" i="15" s="1"/>
  <c r="S142" i="15" a="1"/>
  <c r="S142" i="15" s="1"/>
  <c r="S37" i="15" a="1"/>
  <c r="S37" i="15" s="1"/>
  <c r="S118" i="15" a="1"/>
  <c r="S118" i="15" s="1"/>
  <c r="S94" i="15" a="1"/>
  <c r="S94" i="15" s="1"/>
  <c r="S115" i="15" a="1"/>
  <c r="S115" i="15" s="1"/>
  <c r="S202" i="15" a="1"/>
  <c r="S202" i="15" s="1"/>
  <c r="S84" i="15" a="1"/>
  <c r="S84" i="15" s="1"/>
  <c r="S38" i="15" a="1"/>
  <c r="S38" i="15" s="1"/>
  <c r="S175" i="15" a="1"/>
  <c r="S175" i="15" s="1"/>
  <c r="S21" i="15" a="1"/>
  <c r="S21" i="15" s="1"/>
  <c r="S154" i="15" a="1"/>
  <c r="S154" i="15" s="1"/>
  <c r="S113" i="15" a="1"/>
  <c r="S113" i="15" s="1"/>
  <c r="S69" i="15" a="1"/>
  <c r="S69" i="15" s="1"/>
  <c r="S163" i="15" a="1"/>
  <c r="S163" i="15" s="1"/>
  <c r="S107" i="15" a="1"/>
  <c r="S107" i="15" s="1"/>
  <c r="S30" i="15" a="1"/>
  <c r="S30" i="15" s="1"/>
  <c r="S58" i="15" a="1"/>
  <c r="S58" i="15" s="1"/>
  <c r="S120" i="15" a="1"/>
  <c r="S120" i="15" s="1"/>
  <c r="S26" i="15" a="1"/>
  <c r="S26" i="15" s="1"/>
  <c r="S19" i="15" a="1"/>
  <c r="S19" i="15" s="1"/>
  <c r="S192" i="15" a="1"/>
  <c r="S192" i="15" s="1"/>
  <c r="S121" i="15" a="1"/>
  <c r="S121" i="15" s="1"/>
  <c r="S122" i="15" a="1"/>
  <c r="S122" i="15" s="1"/>
  <c r="S98" i="15" a="1"/>
  <c r="S98" i="15" s="1"/>
  <c r="S190" i="15" a="1"/>
  <c r="S190" i="15" s="1"/>
  <c r="S36" i="15" a="1"/>
  <c r="S36" i="15" s="1"/>
  <c r="S127" i="15" a="1"/>
  <c r="S127" i="15" s="1"/>
  <c r="S181" i="15" a="1"/>
  <c r="S181" i="15" s="1"/>
  <c r="S82" i="15" a="1"/>
  <c r="S82" i="15" s="1"/>
  <c r="S44" i="15" a="1"/>
  <c r="S44" i="15" s="1"/>
  <c r="S139" i="15" a="1"/>
  <c r="S139" i="15" s="1"/>
  <c r="S134" i="15" a="1"/>
  <c r="S134" i="15" s="1"/>
  <c r="S125" i="15" a="1"/>
  <c r="S125" i="15" s="1"/>
  <c r="S63" i="15" a="1"/>
  <c r="S63" i="15" s="1"/>
  <c r="S99" i="15" a="1"/>
  <c r="S99" i="15" s="1"/>
  <c r="S209" i="15" a="1"/>
  <c r="S209" i="15" s="1"/>
  <c r="S133" i="15" a="1"/>
  <c r="S133" i="15" s="1"/>
  <c r="S109" i="15" a="1"/>
  <c r="S109" i="15" s="1"/>
  <c r="S74" i="15" a="1"/>
  <c r="S74" i="15" s="1"/>
  <c r="S72" i="15" a="1"/>
  <c r="S72" i="15" s="1"/>
  <c r="S194" i="15" a="1"/>
  <c r="S194" i="15" s="1"/>
  <c r="S97" i="15" a="1"/>
  <c r="S97" i="15" s="1"/>
  <c r="S66" i="15" a="1"/>
  <c r="S66" i="15" s="1"/>
  <c r="S178" i="15" a="1"/>
  <c r="S178" i="15" s="1"/>
  <c r="S40" i="15" a="1"/>
  <c r="S40" i="15" s="1"/>
  <c r="S92" i="15" a="1"/>
  <c r="S92" i="15" s="1"/>
  <c r="S75" i="15" a="1"/>
  <c r="S75" i="15" s="1"/>
  <c r="S80" i="15" a="1"/>
  <c r="S80" i="15" s="1"/>
  <c r="S100" i="15" a="1"/>
  <c r="S100" i="15" s="1"/>
  <c r="S161" i="15" a="1"/>
  <c r="S161" i="15" s="1"/>
  <c r="S145" i="15" a="1"/>
  <c r="S145" i="15" s="1"/>
  <c r="S207" i="15" a="1"/>
  <c r="S207" i="15" s="1"/>
  <c r="S78" i="15" a="1"/>
  <c r="S78" i="15" s="1"/>
  <c r="S55" i="15" a="1"/>
  <c r="S55" i="15" s="1"/>
  <c r="S198" i="15" a="1"/>
  <c r="S198" i="15" s="1"/>
  <c r="S86" i="15" a="1"/>
  <c r="S86" i="15" s="1"/>
  <c r="S76" i="15" a="1"/>
  <c r="S76" i="15" s="1"/>
  <c r="S35" i="15" a="1"/>
  <c r="S35" i="15" s="1"/>
  <c r="S81" i="15" a="1"/>
  <c r="S81" i="15" s="1"/>
  <c r="S67" i="15" a="1"/>
  <c r="S67" i="15" s="1"/>
  <c r="S151" i="15" a="1"/>
  <c r="S151" i="15" s="1"/>
  <c r="S167" i="15" a="1"/>
  <c r="S167" i="15" s="1"/>
  <c r="S33" i="15" a="1"/>
  <c r="S33" i="15" s="1"/>
  <c r="S28" i="15" a="1"/>
  <c r="S28" i="15" s="1"/>
  <c r="S187" i="15" a="1"/>
  <c r="S187" i="15" s="1"/>
  <c r="S45" i="15" a="1"/>
  <c r="S45" i="15" s="1"/>
  <c r="BZ27" i="15"/>
  <c r="BF30" i="15"/>
  <c r="BF57" i="15"/>
  <c r="BF20" i="15"/>
  <c r="BF60" i="15"/>
  <c r="BF37" i="15"/>
  <c r="BF36" i="15"/>
  <c r="BF62" i="15"/>
  <c r="BF51" i="15"/>
  <c r="BF28" i="15"/>
  <c r="BF24" i="15"/>
  <c r="BF27" i="15"/>
  <c r="BF56" i="15"/>
  <c r="BF38" i="15"/>
  <c r="BF66" i="15"/>
  <c r="BF48" i="15"/>
  <c r="BF19" i="15"/>
  <c r="BF61" i="15"/>
  <c r="BF26" i="15"/>
  <c r="BF41" i="15"/>
  <c r="BF50" i="15"/>
  <c r="BF59" i="15"/>
  <c r="BF71" i="15"/>
  <c r="BF65" i="15"/>
  <c r="BF25" i="15"/>
  <c r="BF46" i="15"/>
  <c r="BF40" i="15"/>
  <c r="BF53" i="15"/>
  <c r="BF63" i="15"/>
  <c r="BF52" i="15"/>
  <c r="BF44" i="15"/>
  <c r="BF34" i="15"/>
  <c r="BF39" i="15"/>
  <c r="BF64" i="15"/>
  <c r="BF23" i="15"/>
  <c r="BF29" i="15"/>
  <c r="BF33" i="15"/>
  <c r="BF55" i="15"/>
  <c r="BF47" i="15"/>
  <c r="BF49" i="15"/>
  <c r="BF35" i="15"/>
  <c r="AL26" i="15"/>
  <c r="AL24" i="15"/>
  <c r="AL36" i="15"/>
  <c r="AL50" i="15"/>
  <c r="AL41" i="15"/>
  <c r="AL34" i="15"/>
  <c r="BZ28" i="15"/>
  <c r="AL27" i="15"/>
  <c r="AL45" i="15"/>
  <c r="AL35" i="15"/>
  <c r="AL47" i="15"/>
  <c r="AL22" i="15"/>
  <c r="AL18" i="15"/>
  <c r="BZ26" i="15"/>
  <c r="AL19" i="15"/>
  <c r="AL21" i="15"/>
  <c r="AL42" i="15"/>
  <c r="AL39" i="15"/>
  <c r="AL38" i="15"/>
  <c r="AL49" i="15"/>
  <c r="AL44" i="15"/>
  <c r="AL43" i="15"/>
  <c r="BF45" i="15"/>
  <c r="AL20" i="15"/>
  <c r="R56" i="15"/>
  <c r="R76" i="15"/>
  <c r="R84" i="15"/>
  <c r="R135" i="15"/>
  <c r="R70" i="15"/>
  <c r="R39" i="15"/>
  <c r="R103" i="15"/>
  <c r="R58" i="15"/>
  <c r="R109" i="15"/>
  <c r="R36" i="15"/>
  <c r="R92" i="15"/>
  <c r="R23" i="15"/>
  <c r="R40" i="15"/>
  <c r="R127" i="15"/>
  <c r="R129" i="15"/>
  <c r="R65" i="15"/>
  <c r="R30" i="15"/>
  <c r="R41" i="15"/>
  <c r="R132" i="15"/>
  <c r="R66" i="15"/>
  <c r="R126" i="15"/>
  <c r="R128" i="15"/>
  <c r="R89" i="15"/>
  <c r="R116" i="15"/>
  <c r="R18" i="15"/>
  <c r="R35" i="15"/>
  <c r="R133" i="15"/>
  <c r="R102" i="15"/>
  <c r="R107" i="15"/>
  <c r="R159" i="15"/>
  <c r="R111" i="15"/>
  <c r="R38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<sst xmlns="http://schemas.openxmlformats.org/spreadsheetml/2006/main" count="4646" uniqueCount="326">
  <si>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</si>
  <si>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</si>
  <si>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</si>
  <si>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</si>
  <si>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</si>
  <si>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</si>
  <si>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</si>
  <si>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</si>
  <si>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</si>
  <si>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</si>
  <si>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</si>
  <si>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</si>
  <si>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</si>
  <si>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</si>
  <si>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</si>
  <si>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</si>
  <si>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</si>
  <si>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</si>
  <si>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</si>
  <si>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</si>
  <si>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</si>
  <si>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</si>
  <si>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</si>
  <si>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</si>
  <si>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</si>
  <si>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</si>
  <si>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</si>
  <si>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</si>
  <si>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</si>
  <si>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</si>
  <si>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</si>
  <si>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</si>
  <si>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</si>
  <si>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</si>
  <si>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</si>
  <si>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</si>
  <si>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</si>
  <si>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</si>
  <si>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</si>
  <si>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</si>
  <si>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</si>
  <si>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</si>
  <si>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</si>
  <si>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</si>
  <si>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</si>
  <si>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</si>
  <si>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</si>
  <si>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</si>
  <si>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</si>
  <si>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</si>
  <si>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</si>
  <si>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</si>
  <si>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</si>
  <si>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</si>
  <si>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</si>
  <si>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</si>
  <si>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</si>
  <si>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</si>
  <si>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</si>
  <si>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</si>
  <si>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</si>
  <si>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</si>
  <si>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</si>
  <si>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</si>
  <si>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</si>
  <si>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</si>
  <si>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</si>
  <si>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</si>
  <si>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</si>
  <si>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</si>
  <si>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</si>
  <si>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</si>
  <si>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</si>
  <si>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</si>
  <si>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</si>
  <si>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</si>
  <si>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</si>
  <si>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eBike Men</t>
  </si>
  <si>
    <t>eBike Women</t>
  </si>
  <si>
    <t>17th</t>
  </si>
  <si>
    <t>18th</t>
  </si>
  <si>
    <t>19th</t>
  </si>
  <si>
    <t>20th</t>
  </si>
  <si>
    <t>21st</t>
  </si>
  <si>
    <t>22nd</t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</si>
  <si>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</si>
  <si>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</si>
  <si>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</si>
  <si>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</si>
  <si>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</si>
  <si>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</si>
  <si>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</si>
  <si>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</si>
  <si>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</si>
  <si>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</si>
  <si>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</si>
  <si>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</si>
  <si>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</si>
  <si>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</si>
  <si>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</si>
  <si>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</si>
  <si>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</si>
  <si>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</si>
  <si>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</si>
  <si>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</si>
  <si>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</si>
  <si>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</si>
  <si>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</si>
  <si>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</si>
  <si>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</si>
  <si>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</si>
  <si>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</si>
  <si>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</si>
  <si>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</si>
  <si>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</si>
  <si>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</si>
  <si>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</si>
  <si>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</si>
  <si>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</si>
  <si>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</si>
  <si>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</si>
  <si>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</si>
  <si>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</si>
  <si>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</si>
  <si>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</si>
  <si>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</si>
  <si>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</si>
  <si>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</si>
  <si>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</si>
  <si>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</si>
  <si>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</si>
  <si>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</si>
  <si>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</si>
  <si>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</si>
  <si>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</si>
  <si>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</si>
  <si>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</si>
  <si>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</si>
  <si>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</si>
  <si>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</si>
  <si>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</si>
  <si>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</si>
  <si>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</si>
  <si>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</si>
  <si>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</si>
  <si>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</si>
  <si>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</si>
  <si>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t>Best 6 of 8 Overall</t>
  </si>
  <si>
    <t>RD5 XCM Craigburn</t>
  </si>
  <si>
    <t>Rider Rider</t>
  </si>
  <si>
    <t>RD9 XCO Willowie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</si>
  <si>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</si>
  <si>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</si>
  <si>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</si>
  <si>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</si>
  <si>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RD3 XCO Sheps</t>
  </si>
  <si>
    <t>Brett WASHINGTON</t>
  </si>
  <si>
    <t>Carlos GUEDEZ</t>
  </si>
  <si>
    <t>Markus CHANDLER</t>
  </si>
  <si>
    <t>Adam KERIN</t>
  </si>
  <si>
    <t>Lachlan RYAN</t>
  </si>
  <si>
    <t>Dylan NORTHCOTT</t>
  </si>
  <si>
    <t>Dylan GRIGG</t>
  </si>
  <si>
    <t>Sam BRUCE</t>
  </si>
  <si>
    <t>Simon WHITE</t>
  </si>
  <si>
    <t>Craig GIBBINS</t>
  </si>
  <si>
    <t>Luke CELLIER</t>
  </si>
  <si>
    <t>Anna KUBILIUS</t>
  </si>
  <si>
    <t>Anook SIMPSON</t>
  </si>
  <si>
    <t>Willowa ATKINS</t>
  </si>
  <si>
    <t>Talia SIMPSON</t>
  </si>
  <si>
    <t>Roslyn HENRICKS</t>
  </si>
  <si>
    <t>Meg CASTLE</t>
  </si>
  <si>
    <t>Natalija LOWE</t>
  </si>
  <si>
    <t>Sam FRYAR</t>
  </si>
  <si>
    <t>Marco Aurelio PANICHI</t>
  </si>
  <si>
    <t>Archie WINTER</t>
  </si>
  <si>
    <t>Amos REICH</t>
  </si>
  <si>
    <t>Alistair GRIGG</t>
  </si>
  <si>
    <t>Lyndon WINTER</t>
  </si>
  <si>
    <t>RD4 XCO Ohal</t>
  </si>
  <si>
    <t>Sam WALSH</t>
  </si>
  <si>
    <t>Miroslav BRUNA</t>
  </si>
  <si>
    <t>Jarrad LITTLEFORD</t>
  </si>
  <si>
    <t>Olav MAROLD</t>
  </si>
  <si>
    <t>Kalindra SIMPSON</t>
  </si>
  <si>
    <t>Theo FRENCH</t>
  </si>
  <si>
    <t>Tyler MERRITT</t>
  </si>
  <si>
    <t>Josiah ZAPLATYNSKYJ</t>
  </si>
  <si>
    <t>Charlotte MAROLD</t>
  </si>
  <si>
    <t>Elliott WINTER</t>
  </si>
  <si>
    <t>RD6 XCM Kinchina</t>
  </si>
  <si>
    <t>Tom SCHMIDT</t>
  </si>
  <si>
    <t>Nick AITKEN</t>
  </si>
  <si>
    <t>Raymond FRIEDRICH</t>
  </si>
  <si>
    <t>Marc DE MAAIJER</t>
  </si>
  <si>
    <t>Erin OLIVER-LANDRY</t>
  </si>
  <si>
    <t>Dominic GRIGG</t>
  </si>
  <si>
    <t>RD8 XCO Fox Creek</t>
  </si>
  <si>
    <t>RD7 XCO O'Halloran</t>
  </si>
  <si>
    <t>Sam BUSH</t>
  </si>
  <si>
    <t>Harry WILLIAMS</t>
  </si>
  <si>
    <t>Remy SALTER</t>
  </si>
  <si>
    <t>Ben CHANDLER</t>
  </si>
  <si>
    <t>Martin SMITH</t>
  </si>
  <si>
    <t>Simon ALTMAN</t>
  </si>
  <si>
    <t>Kain GARDNER</t>
  </si>
  <si>
    <t>Ryan BURKE</t>
  </si>
  <si>
    <t>Gus DOBSON</t>
  </si>
  <si>
    <t>Alastair ROBERTS</t>
  </si>
  <si>
    <t>Dan GRIEVE</t>
  </si>
  <si>
    <t>Nikki LAWN</t>
  </si>
  <si>
    <t>Kate BERRY</t>
  </si>
  <si>
    <t>Amy SCHWARZ</t>
  </si>
  <si>
    <t>Harrison CHANDLER</t>
  </si>
  <si>
    <t>Hector GRIEVE</t>
  </si>
  <si>
    <t>Liam SUTTON</t>
  </si>
  <si>
    <t>Magnus GRIEVE</t>
  </si>
  <si>
    <t>Xavier REICH</t>
  </si>
  <si>
    <t>Keith DANHOJ</t>
  </si>
  <si>
    <t>Griff Knight</t>
  </si>
  <si>
    <t>Oliver IZZARD</t>
  </si>
  <si>
    <t>Simon EGLINTON</t>
  </si>
  <si>
    <t>Adrian Scott</t>
  </si>
  <si>
    <t>Paul HOOPER</t>
  </si>
  <si>
    <t>Evan JAMES</t>
  </si>
  <si>
    <t>Brian KIRKHAM</t>
  </si>
  <si>
    <t>Mark Harvey</t>
  </si>
  <si>
    <t>Daryl MARGRATE</t>
  </si>
  <si>
    <t>Jason TATTERSALL</t>
  </si>
  <si>
    <t>John O LEARY</t>
  </si>
  <si>
    <t>Patrik SEIBERT</t>
  </si>
  <si>
    <t>Adam Davey</t>
  </si>
  <si>
    <t>Colin GLASGOW</t>
  </si>
  <si>
    <t>Rob GREENWOOD</t>
  </si>
  <si>
    <t>Jason IZZARD</t>
  </si>
  <si>
    <t>Luke Sutton</t>
  </si>
  <si>
    <t>Mike Ford</t>
  </si>
  <si>
    <t>Danny GALLIVER</t>
  </si>
  <si>
    <t>Luke FRANCIS</t>
  </si>
  <si>
    <t>Friedrich HOPE</t>
  </si>
  <si>
    <t>Tim GREEN</t>
  </si>
  <si>
    <t>Dylan ZAPLATYNSKYJ</t>
  </si>
  <si>
    <t>Zoe DAWSON</t>
  </si>
  <si>
    <t>Samantha DAVEY</t>
  </si>
  <si>
    <t>Gabrielle TODD</t>
  </si>
  <si>
    <t>Stef SOTORA</t>
  </si>
  <si>
    <t>Tracy PEARCE</t>
  </si>
  <si>
    <t>Sophie NORTH</t>
  </si>
  <si>
    <t>Felicity Gartelmann</t>
  </si>
  <si>
    <t>Kate FORBES</t>
  </si>
  <si>
    <t>Chiara Hill</t>
  </si>
  <si>
    <t>Virag KISS</t>
  </si>
  <si>
    <t>Charlotte POKER</t>
  </si>
  <si>
    <t>Sophie RICHARD</t>
  </si>
  <si>
    <t>Elise HARVEY</t>
  </si>
  <si>
    <t>Mitchell HICKS</t>
  </si>
  <si>
    <t>Tyler Merritt</t>
  </si>
  <si>
    <t>Braddon HARVEY</t>
  </si>
  <si>
    <t>Alifa Willoughby</t>
  </si>
  <si>
    <t>Edward TILLEY</t>
  </si>
  <si>
    <t>Clotilde DUBIEF</t>
  </si>
  <si>
    <t>Alice Marsh</t>
  </si>
  <si>
    <t>Elisse James</t>
  </si>
  <si>
    <t>Albert Ford</t>
  </si>
  <si>
    <t>Joel Sutton</t>
  </si>
  <si>
    <t>Oscar TILLEY</t>
  </si>
  <si>
    <t>Samuel BEVERIDGE</t>
  </si>
  <si>
    <t>Scott MANEY</t>
  </si>
  <si>
    <t>Jack YOUNG</t>
  </si>
  <si>
    <t>Dylan STONE</t>
  </si>
  <si>
    <t>Adrian SCOTT</t>
  </si>
  <si>
    <t>Andrew KENWARD</t>
  </si>
  <si>
    <t>Noah GRIGGS</t>
  </si>
  <si>
    <t>Cameron PRIOR</t>
  </si>
  <si>
    <t>Samuel HARDIE</t>
  </si>
  <si>
    <t>Matt SANDERSON</t>
  </si>
  <si>
    <t>Phil BRAY</t>
  </si>
  <si>
    <t>Adam DAVEY</t>
  </si>
  <si>
    <t>Richard HOLLAND</t>
  </si>
  <si>
    <t>Ric VAN WACHEM</t>
  </si>
  <si>
    <t>Luke SUTTON</t>
  </si>
  <si>
    <t>David KNIGHT</t>
  </si>
  <si>
    <t>Mike FORD</t>
  </si>
  <si>
    <t>Damien O’DEA</t>
  </si>
  <si>
    <t>Ben FENWICK</t>
  </si>
  <si>
    <t>Conen ANTHONY</t>
  </si>
  <si>
    <t>Philip DEVERELL</t>
  </si>
  <si>
    <t>Michelle KROCKENBERGER</t>
  </si>
  <si>
    <t>Alice MARSH</t>
  </si>
  <si>
    <t>Joel ROGERS</t>
  </si>
  <si>
    <t>Christopher JONGEWAARD</t>
  </si>
  <si>
    <t>Marc FOX</t>
  </si>
  <si>
    <t>Harry DEANE</t>
  </si>
  <si>
    <t>Dirk GARDNER</t>
  </si>
  <si>
    <t>Tom SUTCLIFFE</t>
  </si>
  <si>
    <t>John PYPER</t>
  </si>
  <si>
    <t>Paul BERKETT</t>
  </si>
  <si>
    <t>Andrew McArdle</t>
  </si>
  <si>
    <t>Orlaith Lynch</t>
  </si>
  <si>
    <t>Duo Men</t>
  </si>
  <si>
    <t>Girls can broggy too</t>
  </si>
  <si>
    <t>KaMe-kazi</t>
  </si>
  <si>
    <t>Duo Women</t>
  </si>
  <si>
    <t>Sierp Oliver</t>
  </si>
  <si>
    <t>James KNOWLER</t>
  </si>
  <si>
    <t>Struan WEBB</t>
  </si>
  <si>
    <t>Tim HEATH</t>
  </si>
  <si>
    <t>Meghan CARR</t>
  </si>
  <si>
    <t>Duo Mixed W</t>
  </si>
  <si>
    <t>Duo Mixed M</t>
  </si>
  <si>
    <t>Nicholas LEIDIG</t>
  </si>
  <si>
    <t>Paul ODEA</t>
  </si>
  <si>
    <t>Max Coleman</t>
  </si>
  <si>
    <t>Mark SIMPSON</t>
  </si>
  <si>
    <t>Kylie STACEY</t>
  </si>
  <si>
    <t>Scott DENTON</t>
  </si>
  <si>
    <t>Duo Junior M</t>
  </si>
  <si>
    <t>Cooper FOX</t>
  </si>
  <si>
    <t>Albert FORD</t>
  </si>
  <si>
    <t>Joel SUTTON</t>
  </si>
  <si>
    <t>Evan HAWKES</t>
  </si>
  <si>
    <t>Ryan UNDERWOOD</t>
  </si>
  <si>
    <t>Abby MARSH</t>
  </si>
  <si>
    <t>Duo Junior W</t>
  </si>
  <si>
    <t>Abby Marsh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</si>
</sst>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:ss;@"/>
    <numFmt numFmtId="166" formatCode="h:mm:ss.00;@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2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9" fillId="2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3" fillId="8" borderId="0" xfId="2" applyFont="1" applyFill="1"/>
    <xf numFmtId="0" fontId="14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8" fillId="12" borderId="6" xfId="0" applyFont="1" applyFill="1" applyBorder="1" applyAlignment="1">
      <alignment horizontal="center" wrapText="1"/>
    </xf>
    <xf numFmtId="0" fontId="11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3" fillId="8" borderId="0" xfId="2" applyNumberFormat="1" applyFont="1" applyFill="1"/>
    <xf numFmtId="1" fontId="14" fillId="8" borderId="0" xfId="0" applyNumberFormat="1" applyFont="1" applyFill="1"/>
    <xf numFmtId="1" fontId="11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left" wrapText="1"/>
    </xf>
    <xf numFmtId="1" fontId="18" fillId="12" borderId="12" xfId="0" applyNumberFormat="1" applyFont="1" applyFill="1" applyBorder="1" applyAlignment="1">
      <alignment horizontal="center" wrapText="1"/>
    </xf>
    <xf numFmtId="0" fontId="11" fillId="0" borderId="10" xfId="0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center" wrapText="1"/>
    </xf>
    <xf numFmtId="0" fontId="11" fillId="0" borderId="14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/>
    </xf>
    <xf numFmtId="0" fontId="20" fillId="0" borderId="0" xfId="0" applyFont="1"/>
    <xf numFmtId="0" fontId="18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8" fillId="12" borderId="19" xfId="0" applyFont="1" applyFill="1" applyBorder="1" applyAlignment="1">
      <alignment horizontal="center" wrapText="1"/>
    </xf>
    <xf numFmtId="1" fontId="18" fillId="12" borderId="17" xfId="0" applyNumberFormat="1" applyFont="1" applyFill="1" applyBorder="1" applyAlignment="1">
      <alignment horizontal="center" wrapText="1"/>
    </xf>
    <xf numFmtId="1" fontId="18" fillId="12" borderId="18" xfId="0" applyNumberFormat="1" applyFont="1" applyFill="1" applyBorder="1" applyAlignment="1">
      <alignment horizontal="center" wrapText="1"/>
    </xf>
    <xf numFmtId="0" fontId="11" fillId="9" borderId="10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11" fillId="0" borderId="14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/>
    </xf>
    <xf numFmtId="0" fontId="18" fillId="12" borderId="21" xfId="0" applyFont="1" applyFill="1" applyBorder="1" applyAlignment="1">
      <alignment horizontal="left" wrapText="1"/>
    </xf>
    <xf numFmtId="1" fontId="19" fillId="0" borderId="8" xfId="0" applyNumberFormat="1" applyFont="1" applyBorder="1" applyAlignment="1">
      <alignment horizontal="center"/>
    </xf>
    <xf numFmtId="1" fontId="19" fillId="0" borderId="16" xfId="0" applyNumberFormat="1" applyFont="1" applyBorder="1" applyAlignment="1">
      <alignment horizontal="center"/>
    </xf>
    <xf numFmtId="0" fontId="23" fillId="14" borderId="0" xfId="0" applyFont="1" applyFill="1" applyAlignment="1">
      <alignment horizontal="center" vertical="top"/>
    </xf>
    <xf numFmtId="0" fontId="7" fillId="0" borderId="0" xfId="0" applyFont="1"/>
    <xf numFmtId="0" fontId="22" fillId="0" borderId="0" xfId="0" applyFont="1" applyAlignment="1">
      <alignment horizontal="left" vertical="top" wrapText="1"/>
    </xf>
    <xf numFmtId="1" fontId="24" fillId="0" borderId="0" xfId="0" applyNumberFormat="1" applyFont="1" applyAlignment="1">
      <alignment horizontal="left" vertical="top" indent="1" shrinkToFit="1"/>
    </xf>
    <xf numFmtId="0" fontId="25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/>
    </xf>
    <xf numFmtId="1" fontId="24" fillId="0" borderId="0" xfId="0" applyNumberFormat="1" applyFont="1" applyAlignment="1">
      <alignment horizontal="center" vertical="top" shrinkToFit="1"/>
    </xf>
    <xf numFmtId="20" fontId="22" fillId="0" borderId="0" xfId="0" applyNumberFormat="1" applyFont="1" applyAlignment="1">
      <alignment horizontal="right" vertical="top" wrapText="1"/>
    </xf>
    <xf numFmtId="1" fontId="11" fillId="0" borderId="20" xfId="0" applyNumberFormat="1" applyFont="1" applyBorder="1" applyAlignment="1">
      <alignment horizontal="center"/>
    </xf>
    <xf numFmtId="1" fontId="11" fillId="0" borderId="23" xfId="0" applyNumberFormat="1" applyFont="1" applyBorder="1" applyAlignment="1">
      <alignment horizontal="center"/>
    </xf>
    <xf numFmtId="1" fontId="11" fillId="0" borderId="2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9" fontId="23" fillId="14" borderId="0" xfId="0" applyNumberFormat="1" applyFont="1" applyFill="1" applyAlignment="1">
      <alignment horizontal="center" vertical="top"/>
    </xf>
    <xf numFmtId="49" fontId="7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1" fontId="11" fillId="0" borderId="1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/>
    </xf>
    <xf numFmtId="0" fontId="28" fillId="0" borderId="0" xfId="0" applyFont="1"/>
    <xf numFmtId="0" fontId="27" fillId="0" borderId="0" xfId="0" applyFont="1"/>
    <xf numFmtId="0" fontId="11" fillId="15" borderId="10" xfId="0" applyFont="1" applyFill="1" applyBorder="1" applyAlignment="1">
      <alignment horizontal="center"/>
    </xf>
    <xf numFmtId="0" fontId="29" fillId="0" borderId="0" xfId="0" applyFont="1"/>
    <xf numFmtId="46" fontId="29" fillId="0" borderId="0" xfId="0" applyNumberFormat="1" applyFont="1"/>
    <xf numFmtId="20" fontId="29" fillId="0" borderId="0" xfId="0" applyNumberFormat="1" applyFont="1"/>
    <xf numFmtId="0" fontId="30" fillId="0" borderId="0" xfId="0" applyFont="1"/>
    <xf numFmtId="46" fontId="25" fillId="0" borderId="0" xfId="0" applyNumberFormat="1" applyFont="1"/>
    <xf numFmtId="0" fontId="11" fillId="0" borderId="16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46" fontId="25" fillId="0" borderId="0" xfId="0" applyNumberFormat="1" applyFont="1" applyAlignment="1">
      <alignment horizontal="right"/>
    </xf>
    <xf numFmtId="0" fontId="21" fillId="0" borderId="0" xfId="0" applyFont="1" applyAlignment="1">
      <alignment vertical="top" wrapText="1"/>
    </xf>
    <xf numFmtId="0" fontId="6" fillId="0" borderId="0" xfId="0" applyFont="1"/>
    <xf numFmtId="0" fontId="18" fillId="12" borderId="24" xfId="0" applyFont="1" applyFill="1" applyBorder="1" applyAlignment="1">
      <alignment horizontal="center" wrapText="1"/>
    </xf>
    <xf numFmtId="0" fontId="11" fillId="0" borderId="25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21" fontId="29" fillId="0" borderId="0" xfId="0" applyNumberFormat="1" applyFont="1"/>
    <xf numFmtId="0" fontId="31" fillId="0" borderId="0" xfId="0" applyFont="1"/>
    <xf numFmtId="0" fontId="25" fillId="0" borderId="0" xfId="0" applyFont="1"/>
    <xf numFmtId="21" fontId="25" fillId="0" borderId="0" xfId="0" applyNumberFormat="1" applyFont="1"/>
    <xf numFmtId="1" fontId="11" fillId="0" borderId="10" xfId="0" applyNumberFormat="1" applyFont="1" applyBorder="1" applyAlignment="1">
      <alignment horizontal="center"/>
    </xf>
    <xf numFmtId="1" fontId="11" fillId="0" borderId="18" xfId="0" applyNumberFormat="1" applyFont="1" applyBorder="1" applyAlignment="1">
      <alignment horizontal="center"/>
    </xf>
    <xf numFmtId="1" fontId="18" fillId="12" borderId="0" xfId="0" applyNumberFormat="1" applyFont="1" applyFill="1" applyAlignment="1">
      <alignment horizontal="center" wrapText="1"/>
    </xf>
    <xf numFmtId="1" fontId="11" fillId="0" borderId="16" xfId="0" applyNumberFormat="1" applyFont="1" applyBorder="1" applyAlignment="1">
      <alignment horizontal="center"/>
    </xf>
    <xf numFmtId="0" fontId="26" fillId="12" borderId="20" xfId="0" applyFont="1" applyFill="1" applyBorder="1" applyAlignment="1">
      <alignment vertical="top"/>
    </xf>
    <xf numFmtId="1" fontId="19" fillId="0" borderId="2" xfId="0" applyNumberFormat="1" applyFont="1" applyBorder="1" applyAlignment="1">
      <alignment horizontal="center" vertical="top"/>
    </xf>
    <xf numFmtId="1" fontId="11" fillId="0" borderId="2" xfId="0" applyNumberFormat="1" applyFont="1" applyBorder="1" applyAlignment="1">
      <alignment horizontal="center" vertical="top"/>
    </xf>
    <xf numFmtId="47" fontId="29" fillId="0" borderId="0" xfId="0" applyNumberFormat="1" applyFont="1"/>
    <xf numFmtId="1" fontId="19" fillId="0" borderId="18" xfId="0" applyNumberFormat="1" applyFont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 vertical="top"/>
    </xf>
    <xf numFmtId="1" fontId="11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1" fillId="0" borderId="0" xfId="0" applyFont="1" applyAlignment="1">
      <alignment horizontal="left" vertical="top" wrapText="1" indent="2"/>
    </xf>
    <xf numFmtId="0" fontId="21" fillId="0" borderId="0" xfId="0" applyFont="1" applyAlignment="1">
      <alignment horizontal="left" vertical="top" wrapText="1"/>
    </xf>
    <xf numFmtId="0" fontId="23" fillId="14" borderId="0" xfId="0" applyFont="1" applyFill="1" applyAlignment="1">
      <alignment horizontal="right" vertical="top"/>
    </xf>
    <xf numFmtId="0" fontId="7" fillId="0" borderId="0" xfId="0" applyFont="1" applyAlignment="1">
      <alignment horizontal="right"/>
    </xf>
    <xf numFmtId="0" fontId="21" fillId="0" borderId="0" xfId="0" applyFont="1" applyAlignment="1">
      <alignment horizontal="left" vertical="top" wrapText="1" indent="1"/>
    </xf>
    <xf numFmtId="1" fontId="24" fillId="0" borderId="0" xfId="0" applyNumberFormat="1" applyFont="1" applyAlignment="1">
      <alignment horizontal="left" vertical="top" indent="2" shrinkToFit="1"/>
    </xf>
    <xf numFmtId="165" fontId="24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9" fillId="0" borderId="22" xfId="0" applyNumberFormat="1" applyFont="1" applyBorder="1" applyAlignment="1">
      <alignment horizontal="center"/>
    </xf>
    <xf numFmtId="1" fontId="19" fillId="0" borderId="25" xfId="0" applyNumberFormat="1" applyFont="1" applyBorder="1" applyAlignment="1">
      <alignment horizontal="center"/>
    </xf>
    <xf numFmtId="1" fontId="11" fillId="0" borderId="15" xfId="0" applyNumberFormat="1" applyFont="1" applyBorder="1" applyAlignment="1">
      <alignment horizontal="center"/>
    </xf>
    <xf numFmtId="166" fontId="24" fillId="0" borderId="0" xfId="0" applyNumberFormat="1" applyFont="1" applyAlignment="1">
      <alignment horizontal="center" vertical="top" shrinkToFit="1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right" vertical="top" wrapText="1" indent="2"/>
    </xf>
    <xf numFmtId="0" fontId="5" fillId="0" borderId="0" xfId="0" applyFont="1"/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 indent="1"/>
    </xf>
    <xf numFmtId="0" fontId="4" fillId="0" borderId="0" xfId="0" applyFont="1"/>
    <xf numFmtId="0" fontId="0" fillId="0" borderId="0" xfId="0" applyAlignment="1">
      <alignment horizontal="left" wrapText="1"/>
    </xf>
    <xf numFmtId="166" fontId="24" fillId="0" borderId="0" xfId="0" applyNumberFormat="1" applyFont="1" applyAlignment="1">
      <alignment horizontal="left" vertical="top" indent="2" shrinkToFit="1"/>
    </xf>
    <xf numFmtId="1" fontId="24" fillId="0" borderId="0" xfId="0" applyNumberFormat="1" applyFont="1" applyAlignment="1">
      <alignment horizontal="left" vertical="top" indent="4" shrinkToFit="1"/>
    </xf>
    <xf numFmtId="49" fontId="7" fillId="0" borderId="0" xfId="0" applyNumberFormat="1" applyFont="1" applyAlignment="1">
      <alignment horizontal="center"/>
    </xf>
    <xf numFmtId="0" fontId="11" fillId="0" borderId="7" xfId="0" applyFont="1" applyBorder="1" applyAlignment="1">
      <alignment horizontal="center"/>
    </xf>
    <xf numFmtId="0" fontId="22" fillId="0" borderId="0" xfId="0" applyFont="1" applyAlignment="1">
      <alignment vertical="top" wrapText="1"/>
    </xf>
    <xf numFmtId="0" fontId="24" fillId="0" borderId="0" xfId="0" applyFont="1"/>
    <xf numFmtId="9" fontId="24" fillId="0" borderId="0" xfId="0" applyNumberFormat="1" applyFont="1"/>
    <xf numFmtId="47" fontId="7" fillId="0" borderId="0" xfId="0" applyNumberFormat="1" applyFont="1"/>
    <xf numFmtId="0" fontId="3" fillId="0" borderId="0" xfId="0" applyFont="1"/>
    <xf numFmtId="0" fontId="26" fillId="12" borderId="28" xfId="0" applyFont="1" applyFill="1" applyBorder="1" applyAlignment="1">
      <alignment vertical="top"/>
    </xf>
    <xf numFmtId="0" fontId="26" fillId="12" borderId="23" xfId="0" applyFont="1" applyFill="1" applyBorder="1" applyAlignment="1">
      <alignment vertical="top"/>
    </xf>
    <xf numFmtId="46" fontId="7" fillId="0" borderId="0" xfId="0" applyNumberFormat="1" applyFont="1"/>
    <xf numFmtId="46" fontId="24" fillId="0" borderId="0" xfId="0" applyNumberFormat="1" applyFont="1"/>
    <xf numFmtId="1" fontId="24" fillId="0" borderId="0" xfId="0" applyNumberFormat="1" applyFont="1" applyAlignment="1">
      <alignment horizontal="left" vertical="top" shrinkToFit="1"/>
    </xf>
    <xf numFmtId="1" fontId="24" fillId="0" borderId="0" xfId="0" applyNumberFormat="1" applyFont="1" applyAlignment="1">
      <alignment vertical="top" shrinkToFit="1"/>
    </xf>
    <xf numFmtId="20" fontId="7" fillId="0" borderId="0" xfId="0" applyNumberFormat="1" applyFont="1"/>
    <xf numFmtId="0" fontId="2" fillId="0" borderId="0" xfId="0" applyFont="1"/>
    <xf numFmtId="1" fontId="11" fillId="0" borderId="8" xfId="0" applyNumberFormat="1" applyFont="1" applyBorder="1" applyAlignment="1">
      <alignment horizontal="center" vertical="top"/>
    </xf>
    <xf numFmtId="49" fontId="1" fillId="0" borderId="0" xfId="0" applyNumberFormat="1" applyFont="1"/>
    <xf numFmtId="21" fontId="7" fillId="0" borderId="0" xfId="0" applyNumberFormat="1" applyFont="1"/>
    <xf numFmtId="21" fontId="21" fillId="0" borderId="0" xfId="0" applyNumberFormat="1" applyFont="1" applyAlignment="1">
      <alignment horizontal="left" vertical="top" wrapText="1" indent="2"/>
    </xf>
    <xf numFmtId="21" fontId="0" fillId="0" borderId="0" xfId="0" applyNumberFormat="1" applyAlignment="1">
      <alignment horizontal="left" wrapText="1"/>
    </xf>
    <xf numFmtId="21" fontId="21" fillId="0" borderId="0" xfId="0" applyNumberFormat="1" applyFont="1" applyAlignment="1">
      <alignment vertical="top" wrapText="1"/>
    </xf>
    <xf numFmtId="1" fontId="11" fillId="0" borderId="13" xfId="0" applyNumberFormat="1" applyFont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5" xfId="0" applyFont="1" applyFill="1" applyBorder="1" applyAlignment="1">
      <alignment horizontal="center"/>
    </xf>
    <xf numFmtId="0" fontId="15" fillId="11" borderId="4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7" fillId="11" borderId="9" xfId="0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21" fillId="0" borderId="0" xfId="0" applyNumberFormat="1" applyFont="1" applyAlignment="1">
      <alignment horizontal="center" vertical="top" wrapText="1"/>
    </xf>
    <xf numFmtId="49" fontId="33" fillId="12" borderId="20" xfId="0" applyNumberFormat="1" applyFont="1" applyFill="1" applyBorder="1" applyAlignment="1">
      <alignment vertical="top"/>
    </xf>
    <xf numFmtId="1" fontId="19" fillId="0" borderId="2" xfId="0" applyNumberFormat="1" applyFont="1" applyFill="1" applyBorder="1" applyAlignment="1">
      <alignment horizontal="center"/>
    </xf>
    <xf numFmtId="1" fontId="19" fillId="0" borderId="8" xfId="0" applyNumberFormat="1" applyFont="1" applyFill="1" applyBorder="1" applyAlignment="1">
      <alignment horizontal="center"/>
    </xf>
    <xf numFmtId="1" fontId="19" fillId="0" borderId="22" xfId="0" applyNumberFormat="1" applyFont="1" applyFill="1" applyBorder="1" applyAlignment="1">
      <alignment horizontal="center"/>
    </xf>
    <xf numFmtId="1" fontId="19" fillId="0" borderId="29" xfId="0" applyNumberFormat="1" applyFont="1" applyBorder="1" applyAlignment="1">
      <alignment horizontal="center"/>
    </xf>
    <xf numFmtId="1" fontId="19" fillId="0" borderId="27" xfId="0" applyNumberFormat="1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0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846098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38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38</xdr:col>
      <xdr:colOff>197555</xdr:colOff>
      <xdr:row>2</xdr:row>
      <xdr:rowOff>176036</xdr:rowOff>
    </xdr:from>
    <xdr:to>
      <xdr:col>40</xdr:col>
      <xdr:colOff>565502</xdr:colOff>
      <xdr:row>11</xdr:row>
      <xdr:rowOff>82374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1222" y="571147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70557</xdr:colOff>
      <xdr:row>2</xdr:row>
      <xdr:rowOff>37924</xdr:rowOff>
    </xdr:from>
    <xdr:to>
      <xdr:col>59</xdr:col>
      <xdr:colOff>455964</xdr:colOff>
      <xdr:row>11</xdr:row>
      <xdr:rowOff>70556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0779" y="433035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310445</xdr:colOff>
      <xdr:row>3</xdr:row>
      <xdr:rowOff>62264</xdr:rowOff>
    </xdr:from>
    <xdr:to>
      <xdr:col>54</xdr:col>
      <xdr:colOff>726001</xdr:colOff>
      <xdr:row>10</xdr:row>
      <xdr:rowOff>119414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4445" y="654931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2" totalsRowShown="0" headerRowDxfId="87" dataDxfId="85" headerRowBorderDxfId="86" tableBorderDxfId="84">
  <autoFilter ref="A17:R212" xr:uid="{6FB72F6E-9E20-3C4B-9EF3-72C54B6F7DAC}"/>
  <sortState xmlns:xlrd2="http://schemas.microsoft.com/office/spreadsheetml/2017/richdata2" ref="A18:R103">
    <sortCondition descending="1" ref="O17:O212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Eagle'!$I$2:$I$154,MATCH(Men_5[[#This Row],[Rider]],'RD1 Eagle'!$F$2:$F$154,0)),"")</calculatedColumnFormula>
    </tableColumn>
    <tableColumn id="3" xr3:uid="{3AB995A5-FB11-FE43-933E-A61E721DBF18}" name="RD2 XCC Shepherds" dataDxfId="81">
      <calculatedColumnFormula>_xlfn.IFNA(INDEX('RD2 Shepherds'!$I$2:$I$143,MATCH(Men_5[[#This Row],[Rider]],'RD2 Shepherds'!$F$2:$F$143,0)),"")</calculatedColumnFormula>
    </tableColumn>
    <tableColumn id="4" xr3:uid="{925B8789-DB8C-6A4D-89F6-D99EDEF2729B}" name="RD3 XCO Sheps" dataDxfId="80">
      <calculatedColumnFormula>_xlfn.IFNA(INDEX('RD3 XCO Sheps'!$I$2:$I$190,MATCH(Men_5[[#This Row],[Rider]],'RD3 XCO Sheps'!$F$2:$F$190,0)),"")</calculatedColumnFormula>
    </tableColumn>
    <tableColumn id="5" xr3:uid="{4A559483-4D34-E648-9ACD-799B57AE4F57}" name="RD4 XCO Ohal" dataDxfId="79">
      <calculatedColumnFormula>_xlfn.IFNA(INDEX('RD4 Ohalloran'!$I$2:$I$180,MATCH(Men_5[[#This Row],[Rider]],'RD4 Ohalloran'!$F$2:$F$180,0)),"")</calculatedColumnFormula>
    </tableColumn>
    <tableColumn id="6" xr3:uid="{0D8FFC3E-4A2B-814E-BB14-5A6E7831C4B6}" name="RD5 XCM Craigburn" dataDxfId="78">
      <calculatedColumnFormula>_xlfn.IFNA(INDEX('RD5 Craigburn'!$I$2:$I$164,MATCH(Men_5[[#This Row],[Rider]],'RD5 Craigburn'!$F$2:$F$164,0)),"")</calculatedColumnFormula>
    </tableColumn>
    <tableColumn id="10" xr3:uid="{AB8D1A89-F2BC-C54E-8F76-29A94C5983AA}" name="RD6 XCM Kinchina" dataDxfId="77">
      <calculatedColumnFormula>_xlfn.IFNA(INDEX('RD6 Kinchina'!$I$2:$I$200,MATCH(Men_5[[#This Row],[Rider]],'RD6 Kinchina'!$F$2:$F$200,0)),"")</calculatedColumnFormula>
    </tableColumn>
    <tableColumn id="9" xr3:uid="{79CDD0A4-231A-004A-B817-C9A290251FD6}" name="RD7 XCO O'Halloran" dataDxfId="76">
      <calculatedColumnFormula>_xlfn.IFNA(INDEX('RD7 O''Hallaron'!$I$2:$I$190,MATCH(Men_5[[#This Row],[Rider]],'RD7 O''Hallaron'!$F$2:$F$201,0)),"")</calculatedColumnFormula>
    </tableColumn>
    <tableColumn id="8" xr3:uid="{7091C678-2771-BA49-9E7D-A398FC117398}" name="RD8 XCO Fox Creek" dataDxfId="75">
      <calculatedColumnFormula>_xlfn.IFNA(INDEX('RD8 Fox Creek'!$I$2:$I$204,MATCH(Men_5[[#This Row],[Rider]],'RD8 Fox Creek'!$F$2:$F$204,0)),"")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O''Halloran]])</calculatedColumnFormula>
    </tableColumn>
    <tableColumn id="23" xr3:uid="{A3850B7D-CCD6-C743-ACE5-A70720F128E6}" name="Number of Rounds XCO" dataDxfId="70">
      <calculatedColumnFormula>2-COUNTBLANK(Men_5[[#This Row],[RD8 XCO Fox Creek]:[RD9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Fox Creek]:[RD9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Eagle'!$I$2:$I$154,MATCH(Women6[[#This Row],[Rider]],'RD1 Eagle'!$F$2:$F$154,0)),"")</calculatedColumnFormula>
    </tableColumn>
    <tableColumn id="3" xr3:uid="{7877517B-00C9-0C4E-9F47-0902A26C4BE6}" name="RD2 XCC Shepherds" dataDxfId="59">
      <calculatedColumnFormula>_xlfn.IFNA(INDEX('RD2 Shepherds'!$I$2:$I$143,MATCH(Women6[[#This Row],[Rider]],'RD2 Shepherds'!$F$2:$F$143,0)),"")</calculatedColumnFormula>
    </tableColumn>
    <tableColumn id="4" xr3:uid="{7C0B3AFA-A180-2F45-9471-BA19BE7507C2}" name="RD3 XCO Sheps" dataDxfId="58">
      <calculatedColumnFormula>_xlfn.IFNA(INDEX('RD3 XCO Sheps'!$I$2:$I$190,MATCH(Women6[[#This Row],[Rider]],'RD3 XCO Sheps'!$F$2:$F$190,0)),"")</calculatedColumnFormula>
    </tableColumn>
    <tableColumn id="5" xr3:uid="{050A73C8-3231-D54F-B089-3FA9143D94CA}" name="RD4 XCO Ohal" dataDxfId="57">
      <calculatedColumnFormula>_xlfn.IFNA(INDEX('RD4 Ohalloran'!$I$2:$I$184,MATCH(Women6[[#This Row],[Rider]],'RD4 Ohalloran'!$F$2:$F$184,0)),"")</calculatedColumnFormula>
    </tableColumn>
    <tableColumn id="6" xr3:uid="{80E06A4E-0716-D246-8B81-DE3319A12F3C}" name="RD5 XCM Craigburn" dataDxfId="56">
      <calculatedColumnFormula>_xlfn.IFNA(INDEX('RD5 Craigburn'!$I$2:$I$164,MATCH(Women6[[#This Row],[Rider]],'RD5 Craigburn'!$F$2:$F$164,0)),"")</calculatedColumnFormula>
    </tableColumn>
    <tableColumn id="8" xr3:uid="{22420A4D-15EA-EA46-8169-0D3572847BC4}" name="RD6 XCM Kinchina" dataDxfId="55">
      <calculatedColumnFormula>_xlfn.IFNA(INDEX('RD6 Kinchina'!$I$2:$I$199,MATCH(Women6[[#This Row],[Rider]],'RD6 Kinchina'!$F$2:$F$199,0)),"")</calculatedColumnFormula>
    </tableColumn>
    <tableColumn id="17" xr3:uid="{1658A7A9-3BF1-0A4E-AC18-0F76D78435A1}" name="RD7 XCO O'Halloran" dataDxfId="54">
      <calculatedColumnFormula>_xlfn.IFNA(INDEX('RD7 O''Hallaron'!$I$2:$I$190,MATCH(Women6[[#This Row],[Rider]],'RD7 O''Hallaron'!$F$2:$F$201,0)),"")</calculatedColumnFormula>
    </tableColumn>
    <tableColumn id="15" xr3:uid="{AC126E8E-492E-2E42-B33B-430722CFA72E}" name="RD8 XCO Fox Creek" dataDxfId="53">
      <calculatedColumnFormula>_xlfn.IFNA(INDEX('RD8 Fox Creek'!$I$2:$I$204,MATCH(Women6[[#This Row],[Rider]],'RD8 Fox Creek'!$F$2:$F$204,0)),"")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O''Halloran]])</calculatedColumnFormula>
    </tableColumn>
    <tableColumn id="18" xr3:uid="{3948D15C-18E6-E844-B72F-C1FDC42541DA}" name="Number of XCO Rounds" dataDxfId="48">
      <calculatedColumnFormula>2-COUNTBLANK(Women6[[#This Row],[RD8 XCO Fox Creek]:[RD9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Fox Creek]:[RD9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Eagle'!$I$2:$I$154,MATCH(Junior7[[#This Row],[Rider]],'RD1 Eagle'!$F$2:$F$154,0)),"")</calculatedColumnFormula>
    </tableColumn>
    <tableColumn id="3" xr3:uid="{A41990D3-1CCD-7C4D-A7FE-DBA1D2EFB4F0}" name="RD2 XCC Shepherds" dataDxfId="37">
      <calculatedColumnFormula>_xlfn.IFNA(INDEX('RD2 Shepherds'!$I$2:$I$143,MATCH(Junior7[[#This Row],[Rider]],'RD2 Shepherds'!$F$2:$F$143,0)),"")</calculatedColumnFormula>
    </tableColumn>
    <tableColumn id="4" xr3:uid="{FBE52D38-56AB-1E49-B0B5-AD408528BED1}" name="RD3 XCO Sheps" dataDxfId="36">
      <calculatedColumnFormula>_xlfn.IFNA(INDEX('RD3 XCO Sheps'!$I$2:$I$190,MATCH(Junior7[[#This Row],[Rider]],'RD3 XCO Sheps'!$F$2:$F$190,0)),"")</calculatedColumnFormula>
    </tableColumn>
    <tableColumn id="5" xr3:uid="{92C429E4-BC95-5F48-9B07-C4B4B5A8B170}" name="RD4 XCO Ohal" dataDxfId="35">
      <calculatedColumnFormula>_xlfn.IFNA(INDEX('RD4 Ohalloran'!$I$2:$I$184,MATCH(Junior7[[#This Row],[Rider]],'RD4 Ohalloran'!$F$2:$F$184,0)),"")</calculatedColumnFormula>
    </tableColumn>
    <tableColumn id="6" xr3:uid="{133F6194-F384-424F-944C-04A430BBDCC2}" name="RD5 XCM Craigburn" dataDxfId="34">
      <calculatedColumnFormula>_xlfn.IFNA(INDEX('RD5 Craigburn'!$I$2:$I$168,MATCH(Junior7[[#This Row],[Rider]],'RD5 Craigburn'!$F$2:$F$168,0)),"")</calculatedColumnFormula>
    </tableColumn>
    <tableColumn id="8" xr3:uid="{F75AD10B-4FEA-C041-ABF0-502126FFBB1F}" name="RD6 XCM Kinchina" dataDxfId="33">
      <calculatedColumnFormula>_xlfn.IFNA(INDEX('RD6 Kinchina'!$I$2:$I$199,MATCH(Junior7[[#This Row],[Rider]],'RD6 Kinchina'!$F$2:$F$199,0)),"")</calculatedColumnFormula>
    </tableColumn>
    <tableColumn id="19" xr3:uid="{B7E32C25-C2D1-DB40-91D6-040DBFB334A5}" name="RD7 XCO O'Halloran" dataDxfId="32">
      <calculatedColumnFormula>_xlfn.IFNA(INDEX('RD7 O''Hallaron'!$I$2:$I$190,MATCH(Junior7[[#This Row],[Rider]],'RD7 O''Hallaron'!$F$2:$F$201,0)),"")</calculatedColumnFormula>
    </tableColumn>
    <tableColumn id="9" xr3:uid="{9DCFD1A8-BABF-4144-8E77-A4F050ED21B3}" name="RD8 XCO Fox Creek" dataDxfId="31">
      <calculatedColumnFormula>_xlfn.IFNA(INDEX('RD8 Fox Creek'!$I$2:$I$204,MATCH(Junior7[[#This Row],[Rider]],'RD8 Fox Creek'!$F$2:$F$204,0)),"")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O''Halloran]])</calculatedColumnFormula>
    </tableColumn>
    <tableColumn id="17" xr3:uid="{1395531C-C480-3645-AAE4-9F19B503F5A8}" name="Number of XCO Rounds" dataDxfId="26">
      <calculatedColumnFormula>2-COUNTBLANK(Junior7[[#This Row],[RD8 XCO Fox Creek]:[RD9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Fox Creek]:[RD9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Eagle'!$I$2:$I$154,MATCH(Women5108[[#This Row],[Rider]],'RD1 Eagle'!$F$2:$F$154,0)),"")</calculatedColumnFormula>
    </tableColumn>
    <tableColumn id="3" xr3:uid="{BDC42484-0B2D-8143-BC49-8A14D722860D}" name="RD2 XCC Shepherds" dataDxfId="15">
      <calculatedColumnFormula>_xlfn.IFNA(INDEX('RD2 Shepherds'!$I$2:$I$143,MATCH(Women5108[[#This Row],[Rider]],'RD2 Shepherds'!$F$2:$F$143,0)),"")</calculatedColumnFormula>
    </tableColumn>
    <tableColumn id="4" xr3:uid="{DC006417-0B75-0448-9A91-E939B127E5DE}" name="RD3 XCO Sheps" dataDxfId="14">
      <calculatedColumnFormula>_xlfn.IFNA(INDEX('RD3 XCO Sheps'!$I$2:$I$115,MATCH(Women5108[[#This Row],[Rider]],'RD3 XCO Sheps'!$F$2:$F$115,0)),"")</calculatedColumnFormula>
    </tableColumn>
    <tableColumn id="5" xr3:uid="{F77CAD02-7790-7B41-B45C-2404AD108FFD}" name="RD4 XCO Ohal" dataDxfId="13">
      <calculatedColumnFormula>_xlfn.IFNA(INDEX('RD4 Ohalloran'!$I$2:$I$109,MATCH(Women5108[[#This Row],[Rider]],'RD4 Ohalloran'!$F$2:$F$109,0)),"")</calculatedColumnFormula>
    </tableColumn>
    <tableColumn id="6" xr3:uid="{9E747272-24ED-2847-8D63-F050E3DBF769}" name="RD5 XCM Craigburn" dataDxfId="12">
      <calculatedColumnFormula>_xlfn.IFNA(INDEX('RD5 Craigburn'!$I$2:$I$164,MATCH(Women5108[[#This Row],[Rider]],'RD5 Craigburn'!$F$2:$F$164,0)),"")</calculatedColumnFormula>
    </tableColumn>
    <tableColumn id="8" xr3:uid="{AE0199CC-9244-9A4B-9817-DF07AE4F0433}" name="RD6 XCM Kinchina" dataDxfId="11">
      <calculatedColumnFormula>_xlfn.IFNA(INDEX('RD6 Kinchina'!$I$2:$I$199,MATCH(Women5108[[#This Row],[Rider]],'RD6 Kinchina'!$F$2:$F$199,0)),"")</calculatedColumnFormula>
    </tableColumn>
    <tableColumn id="19" xr3:uid="{A822BF17-7C75-E042-A258-2A3E6007C184}" name="RD7 XCO O'Halloran" dataDxfId="10">
      <calculatedColumnFormula>_xlfn.IFNA(INDEX('RD7 O''Hallaron'!$I$2:$I$190,MATCH(Women5108[[#This Row],[Rider]],'RD7 O''Hallaron'!$F$2:$F$201,0)),"")</calculatedColumnFormula>
    </tableColumn>
    <tableColumn id="9" xr3:uid="{26826726-4000-9141-B7B1-ADD4666257F8}" name="RD8 XCO Fox Creek" dataDxfId="9">
      <calculatedColumnFormula>_xlfn.IFNA(INDEX('RD8 Fox Creek'!$I$2:$I$204,MATCH(Women5108[[#This Row],[Rider]],'RD8 Fox Creek'!$F$2:$F$204,0)),"")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O''Halloran]])</calculatedColumnFormula>
    </tableColumn>
    <tableColumn id="17" xr3:uid="{A4E6D8D5-FC87-4B47-BFD5-483C7E6271E5}" name="Number of Rounds XCO" dataDxfId="4">
      <calculatedColumnFormula>2-COUNTBLANK(Women5108[[#This Row],[RD8 XCO Fox Creek]:[RD9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Fox Creek]:[RD9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79" t="s">
        <v>91</v>
      </c>
      <c r="C2" s="79" t="s">
        <v>89</v>
      </c>
      <c r="D2" s="79" t="s">
        <v>90</v>
      </c>
    </row>
    <row r="3" spans="1:14" x14ac:dyDescent="0.2">
      <c r="A3" s="42" t="s">
        <v>1</v>
      </c>
      <c r="B3" s="79" t="s">
        <v>91</v>
      </c>
      <c r="C3" s="79" t="s">
        <v>92</v>
      </c>
      <c r="D3" s="79" t="s">
        <v>93</v>
      </c>
      <c r="E3" s="42"/>
    </row>
    <row r="4" spans="1:14" x14ac:dyDescent="0.2">
      <c r="A4" s="42" t="s">
        <v>2</v>
      </c>
      <c r="B4" s="79" t="s">
        <v>91</v>
      </c>
      <c r="C4" s="79" t="s">
        <v>94</v>
      </c>
      <c r="D4" s="79" t="s">
        <v>95</v>
      </c>
      <c r="E4" s="42"/>
    </row>
    <row r="5" spans="1:14" x14ac:dyDescent="0.2">
      <c r="A5" t="s">
        <v>3</v>
      </c>
      <c r="B5" s="79" t="s">
        <v>96</v>
      </c>
      <c r="C5" s="79" t="s">
        <v>97</v>
      </c>
      <c r="D5" s="79" t="s">
        <v>98</v>
      </c>
    </row>
    <row r="6" spans="1:14" x14ac:dyDescent="0.2">
      <c r="A6" t="s">
        <v>4</v>
      </c>
      <c r="B6" s="79" t="s">
        <v>99</v>
      </c>
      <c r="C6" s="79" t="s">
        <v>100</v>
      </c>
      <c r="D6" s="79" t="s">
        <v>101</v>
      </c>
      <c r="L6" s="79"/>
      <c r="M6" s="79"/>
      <c r="N6" s="79"/>
    </row>
    <row r="7" spans="1:14" x14ac:dyDescent="0.2">
      <c r="A7" t="s">
        <v>5</v>
      </c>
      <c r="B7" s="79" t="s">
        <v>7</v>
      </c>
      <c r="C7" s="79" t="s">
        <v>102</v>
      </c>
      <c r="D7" s="79" t="s">
        <v>103</v>
      </c>
      <c r="L7" s="79"/>
      <c r="M7" s="79"/>
      <c r="N7" s="79"/>
    </row>
    <row r="8" spans="1:14" x14ac:dyDescent="0.2">
      <c r="A8" t="s">
        <v>6</v>
      </c>
      <c r="B8" s="79" t="s">
        <v>99</v>
      </c>
      <c r="C8" s="79" t="s">
        <v>104</v>
      </c>
      <c r="D8" s="78" t="s">
        <v>105</v>
      </c>
      <c r="L8" s="79"/>
      <c r="M8" s="79"/>
      <c r="N8" s="79"/>
    </row>
    <row r="9" spans="1:14" x14ac:dyDescent="0.2">
      <c r="A9" s="42" t="s">
        <v>9</v>
      </c>
      <c r="B9" s="79" t="s">
        <v>8</v>
      </c>
      <c r="C9" s="79" t="s">
        <v>106</v>
      </c>
      <c r="D9" s="79" t="s">
        <v>107</v>
      </c>
      <c r="E9" s="42"/>
      <c r="L9" s="79"/>
      <c r="M9" s="79"/>
      <c r="N9" s="79"/>
    </row>
    <row r="10" spans="1:14" x14ac:dyDescent="0.2">
      <c r="A10" t="s">
        <v>49</v>
      </c>
      <c r="B10" s="79" t="s">
        <v>8</v>
      </c>
      <c r="C10" s="79" t="s">
        <v>108</v>
      </c>
      <c r="D10" s="79" t="s">
        <v>109</v>
      </c>
      <c r="L10" s="79"/>
      <c r="M10" s="79"/>
      <c r="N10" s="79"/>
    </row>
    <row r="11" spans="1:14" x14ac:dyDescent="0.2">
      <c r="A11" t="s">
        <v>50</v>
      </c>
      <c r="B11" s="79" t="s">
        <v>8</v>
      </c>
      <c r="C11" s="79" t="s">
        <v>110</v>
      </c>
      <c r="D11" s="79" t="s">
        <v>109</v>
      </c>
      <c r="L11" s="79"/>
      <c r="M11" s="79"/>
      <c r="N11" s="79"/>
    </row>
    <row r="12" spans="1:14" x14ac:dyDescent="0.2">
      <c r="A12" t="s">
        <v>114</v>
      </c>
      <c r="B12" s="79" t="s">
        <v>111</v>
      </c>
      <c r="C12" s="79" t="s">
        <v>112</v>
      </c>
      <c r="D12" s="79" t="s">
        <v>113</v>
      </c>
      <c r="L12" s="79"/>
      <c r="M12" s="79"/>
      <c r="N12" s="78"/>
    </row>
    <row r="13" spans="1:14" x14ac:dyDescent="0.2">
      <c r="A13" s="29" t="s">
        <v>14</v>
      </c>
      <c r="B13" s="30"/>
      <c r="C13" s="30"/>
      <c r="D13" s="30"/>
      <c r="L13" s="79"/>
      <c r="M13" s="79"/>
      <c r="N13" s="79"/>
    </row>
    <row r="14" spans="1:14" x14ac:dyDescent="0.2">
      <c r="A14" t="s">
        <v>51</v>
      </c>
      <c r="L14" s="79"/>
      <c r="M14" s="79"/>
      <c r="N14" s="79"/>
    </row>
    <row r="15" spans="1:14" x14ac:dyDescent="0.2">
      <c r="A15" t="s">
        <v>52</v>
      </c>
      <c r="L15" s="79"/>
      <c r="M15" s="79"/>
      <c r="N15" s="79"/>
    </row>
    <row r="16" spans="1:14" x14ac:dyDescent="0.2">
      <c r="A16" s="42"/>
      <c r="B16" s="42"/>
      <c r="C16" s="42"/>
      <c r="L16" s="79"/>
      <c r="M16" s="79"/>
      <c r="N16" s="79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6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4"/>
  <sheetViews>
    <sheetView workbookViewId="0">
      <selection activeCell="F2" sqref="F2:H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30.5" style="62" bestFit="1" customWidth="1"/>
    <col min="19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P3" s="81"/>
      <c r="Q3" s="81"/>
      <c r="R3" s="81"/>
      <c r="S3" s="81"/>
      <c r="T3" s="95"/>
      <c r="U3"/>
      <c r="V3" s="81"/>
      <c r="X3" s="81"/>
      <c r="Y3" s="81"/>
      <c r="Z3" s="95"/>
      <c r="AA3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N4" s="81"/>
      <c r="O4" s="81"/>
      <c r="P4" s="81"/>
      <c r="Q4" s="81"/>
      <c r="R4" s="81"/>
      <c r="S4" s="81"/>
      <c r="T4" s="95"/>
      <c r="U4" s="81"/>
      <c r="V4" s="81"/>
      <c r="W4" s="81"/>
      <c r="Y4" s="81"/>
      <c r="Z4" s="81"/>
      <c r="AA4" s="95"/>
      <c r="AB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N5" s="81"/>
      <c r="O5" s="81"/>
      <c r="P5" s="81"/>
      <c r="Q5" s="81"/>
      <c r="R5" s="81"/>
      <c r="S5" s="81"/>
      <c r="T5" s="95"/>
      <c r="U5" s="81"/>
      <c r="V5" s="81"/>
      <c r="W5" s="81"/>
      <c r="X5" s="81"/>
      <c r="Y5" s="81"/>
      <c r="Z5" s="81"/>
      <c r="AA5" s="95"/>
      <c r="AB5" s="81"/>
      <c r="AC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N6" s="81"/>
      <c r="O6" s="81"/>
      <c r="P6" s="81"/>
      <c r="Q6" s="81"/>
      <c r="R6" s="81"/>
      <c r="S6" s="81"/>
      <c r="T6" s="95"/>
      <c r="U6" s="81"/>
      <c r="V6" s="81"/>
      <c r="W6" s="81"/>
      <c r="X6" s="81"/>
      <c r="Y6" s="81"/>
      <c r="Z6" s="81"/>
      <c r="AA6" s="95"/>
      <c r="AB6" s="81"/>
      <c r="AC6" s="81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N7" s="81"/>
      <c r="O7" s="81"/>
      <c r="P7" s="81"/>
      <c r="Q7" s="81"/>
      <c r="R7" s="81"/>
      <c r="S7" s="81"/>
      <c r="T7" s="95"/>
      <c r="U7" s="81"/>
      <c r="V7" s="81"/>
      <c r="W7" s="81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N8" s="81"/>
      <c r="O8" s="81"/>
      <c r="P8" s="81"/>
      <c r="Q8" s="81"/>
      <c r="R8" s="81"/>
      <c r="S8" s="81"/>
      <c r="T8" s="95"/>
      <c r="U8" s="81"/>
      <c r="V8" s="81"/>
      <c r="W8" s="81"/>
      <c r="X8" s="81"/>
      <c r="Y8" s="81"/>
      <c r="Z8" s="81"/>
      <c r="AA8" s="95"/>
      <c r="AB8" s="81"/>
      <c r="AC8" s="81"/>
    </row>
    <row r="9" spans="1:29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360</v>
      </c>
      <c r="N9" s="81"/>
      <c r="O9" s="81"/>
      <c r="P9" s="81"/>
      <c r="Q9" s="81"/>
      <c r="R9" s="81"/>
      <c r="S9" s="81"/>
      <c r="T9" s="95"/>
      <c r="U9" s="81"/>
      <c r="V9" s="81"/>
      <c r="W9" s="81"/>
      <c r="X9" s="81"/>
      <c r="Y9" s="81"/>
      <c r="Z9" s="81"/>
      <c r="AA9" s="81"/>
      <c r="AB9" s="95"/>
      <c r="AC9" s="81"/>
    </row>
    <row r="10" spans="1:29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350</v>
      </c>
      <c r="N10" s="81"/>
      <c r="O10" s="81"/>
      <c r="P10" s="81"/>
      <c r="Q10" s="81"/>
      <c r="R10" s="81"/>
      <c r="S10" s="81"/>
      <c r="T10" s="95"/>
      <c r="U10" s="81"/>
      <c r="V10" s="81"/>
      <c r="W10" s="81"/>
      <c r="X10" s="81"/>
      <c r="Y10" s="81"/>
      <c r="Z10" s="81"/>
      <c r="AA10" s="81"/>
      <c r="AB10" s="95"/>
      <c r="AC10" s="81"/>
    </row>
    <row r="11" spans="1:29" ht="17" customHeight="1" x14ac:dyDescent="0.2">
      <c r="A11" s="65" t="s">
        <v>19</v>
      </c>
      <c r="B11" s="65" t="s">
        <v>35</v>
      </c>
      <c r="C11" s="62">
        <v>1</v>
      </c>
      <c r="D11" s="66" t="s">
        <v>60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375</v>
      </c>
      <c r="N11" s="81"/>
      <c r="O11" s="81"/>
      <c r="P11" s="81"/>
      <c r="Q11" s="81"/>
      <c r="R11" s="81"/>
      <c r="S11" s="81"/>
      <c r="T11" s="95"/>
      <c r="U11" s="81"/>
      <c r="V11"/>
      <c r="W11"/>
      <c r="X11" s="81"/>
      <c r="Y11" s="81"/>
      <c r="Z11" s="81"/>
      <c r="AA11" s="81"/>
      <c r="AB11" s="95"/>
      <c r="AC11"/>
    </row>
    <row r="12" spans="1:29" ht="17" customHeight="1" x14ac:dyDescent="0.2">
      <c r="A12" s="65" t="s">
        <v>19</v>
      </c>
      <c r="B12" s="65" t="s">
        <v>35</v>
      </c>
      <c r="C12" s="62">
        <v>2</v>
      </c>
      <c r="D12" s="66" t="s">
        <v>62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337.5</v>
      </c>
      <c r="P12" s="81"/>
      <c r="Q12" s="81"/>
      <c r="R12" s="81"/>
      <c r="S12" s="81"/>
      <c r="T12" s="95"/>
      <c r="W12" s="81"/>
    </row>
    <row r="13" spans="1:29" ht="17" customHeight="1" x14ac:dyDescent="0.2">
      <c r="A13" s="65" t="s">
        <v>19</v>
      </c>
      <c r="B13" s="65" t="s">
        <v>35</v>
      </c>
      <c r="C13" s="62">
        <v>3</v>
      </c>
      <c r="D13" s="66" t="s">
        <v>63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315</v>
      </c>
      <c r="P13" s="81"/>
      <c r="Q13" s="81"/>
      <c r="R13" s="81"/>
      <c r="S13" s="81"/>
      <c r="T13" s="95"/>
      <c r="W13" s="81"/>
    </row>
    <row r="14" spans="1:29" ht="17" customHeight="1" x14ac:dyDescent="0.2">
      <c r="A14" s="65" t="s">
        <v>19</v>
      </c>
      <c r="B14" s="65" t="s">
        <v>35</v>
      </c>
      <c r="C14" s="62">
        <v>4</v>
      </c>
      <c r="D14" s="66" t="s">
        <v>64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300</v>
      </c>
      <c r="P14" s="81"/>
      <c r="Q14" s="81"/>
      <c r="R14" s="81"/>
      <c r="S14" s="81"/>
      <c r="T14" s="95"/>
      <c r="W14" s="81"/>
    </row>
    <row r="15" spans="1:29" ht="19" x14ac:dyDescent="0.2">
      <c r="A15" s="65" t="s">
        <v>19</v>
      </c>
      <c r="B15" s="65" t="s">
        <v>35</v>
      </c>
      <c r="C15" s="62">
        <v>5</v>
      </c>
      <c r="D15" s="66" t="s">
        <v>65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292.5</v>
      </c>
      <c r="P15" s="81"/>
      <c r="Q15" s="81"/>
      <c r="R15" s="81"/>
      <c r="S15" s="81"/>
      <c r="T15" s="95"/>
      <c r="W15" s="81"/>
    </row>
    <row r="16" spans="1:29" ht="19" x14ac:dyDescent="0.2">
      <c r="A16" s="65" t="s">
        <v>19</v>
      </c>
      <c r="B16" s="65" t="s">
        <v>35</v>
      </c>
      <c r="C16" s="62">
        <v>6</v>
      </c>
      <c r="D16" s="66" t="s">
        <v>66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285</v>
      </c>
      <c r="P16" s="81"/>
      <c r="Q16" s="81"/>
      <c r="R16" s="81"/>
      <c r="S16" s="81"/>
      <c r="T16" s="95"/>
      <c r="W16" s="81"/>
    </row>
    <row r="17" spans="1:27" ht="19" x14ac:dyDescent="0.2">
      <c r="A17" s="65" t="s">
        <v>19</v>
      </c>
      <c r="B17" s="65" t="s">
        <v>35</v>
      </c>
      <c r="C17" s="62">
        <v>7</v>
      </c>
      <c r="D17" s="66" t="s">
        <v>67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277.5</v>
      </c>
      <c r="P17" s="81"/>
      <c r="Q17" s="81"/>
      <c r="R17" s="81"/>
      <c r="S17" s="81"/>
      <c r="T17" s="95"/>
      <c r="W17" s="81"/>
    </row>
    <row r="18" spans="1:27" ht="17" customHeight="1" x14ac:dyDescent="0.2">
      <c r="A18" s="65" t="s">
        <v>19</v>
      </c>
      <c r="B18" s="65" t="s">
        <v>35</v>
      </c>
      <c r="C18" s="62">
        <v>8</v>
      </c>
      <c r="D18" s="66" t="s">
        <v>68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270</v>
      </c>
      <c r="P18" s="81"/>
      <c r="Q18" s="81"/>
      <c r="R18" s="81"/>
      <c r="S18" s="81"/>
      <c r="T18" s="95"/>
      <c r="W18" s="81"/>
    </row>
    <row r="19" spans="1:27" ht="17" customHeight="1" x14ac:dyDescent="0.2">
      <c r="A19" s="65" t="s">
        <v>19</v>
      </c>
      <c r="B19" s="65" t="s">
        <v>35</v>
      </c>
      <c r="C19" s="62">
        <v>9</v>
      </c>
      <c r="D19" s="66" t="s">
        <v>69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262.5</v>
      </c>
      <c r="P19" s="81"/>
      <c r="Q19" s="81"/>
      <c r="R19" s="81"/>
      <c r="S19" s="81"/>
      <c r="T19" s="95"/>
      <c r="W19" s="81"/>
    </row>
    <row r="20" spans="1:27" ht="17" customHeight="1" x14ac:dyDescent="0.2">
      <c r="A20" s="65" t="s">
        <v>19</v>
      </c>
      <c r="B20" s="65" t="s">
        <v>35</v>
      </c>
      <c r="C20" s="62">
        <v>10</v>
      </c>
      <c r="D20" s="66" t="s">
        <v>70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255</v>
      </c>
      <c r="P20" s="81"/>
      <c r="Q20" s="81"/>
      <c r="R20" s="81"/>
      <c r="S20" s="81"/>
      <c r="T20" s="95"/>
      <c r="W20"/>
    </row>
    <row r="21" spans="1:27" ht="17" customHeight="1" x14ac:dyDescent="0.2">
      <c r="A21" s="65" t="s">
        <v>21</v>
      </c>
      <c r="B21" s="65" t="s">
        <v>36</v>
      </c>
      <c r="C21" s="62">
        <v>1</v>
      </c>
      <c r="D21" s="66" t="s">
        <v>60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350</v>
      </c>
      <c r="P21" s="81"/>
      <c r="Q21" s="81"/>
      <c r="R21" s="81"/>
      <c r="S21" s="81"/>
      <c r="T21" s="95"/>
      <c r="U21" s="81"/>
      <c r="V21"/>
      <c r="W21"/>
    </row>
    <row r="22" spans="1:27" ht="17" customHeight="1" x14ac:dyDescent="0.2">
      <c r="A22" s="65" t="s">
        <v>21</v>
      </c>
      <c r="B22" s="65" t="s">
        <v>36</v>
      </c>
      <c r="C22" s="62">
        <v>2</v>
      </c>
      <c r="D22" s="66" t="s">
        <v>62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315</v>
      </c>
      <c r="P22" s="81"/>
      <c r="Q22" s="81"/>
      <c r="R22" s="81"/>
      <c r="S22" s="81"/>
      <c r="T22" s="95"/>
      <c r="W22" s="81"/>
    </row>
    <row r="23" spans="1:27" ht="17" customHeight="1" x14ac:dyDescent="0.2">
      <c r="A23" s="65" t="s">
        <v>21</v>
      </c>
      <c r="B23" s="65" t="s">
        <v>36</v>
      </c>
      <c r="C23" s="62">
        <v>3</v>
      </c>
      <c r="D23" s="66" t="s">
        <v>63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294</v>
      </c>
      <c r="P23" s="81"/>
      <c r="Q23" s="81"/>
      <c r="R23" s="81"/>
      <c r="S23" s="81"/>
      <c r="T23" s="95"/>
      <c r="W23" s="81"/>
    </row>
    <row r="24" spans="1:27" ht="17" customHeight="1" x14ac:dyDescent="0.2">
      <c r="A24" s="65" t="s">
        <v>21</v>
      </c>
      <c r="B24" s="65" t="s">
        <v>36</v>
      </c>
      <c r="C24" s="62">
        <v>4</v>
      </c>
      <c r="D24" s="66" t="s">
        <v>64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280</v>
      </c>
      <c r="P24" s="81"/>
      <c r="Q24" s="81"/>
      <c r="R24" s="81"/>
      <c r="S24" s="81"/>
      <c r="T24" s="95"/>
      <c r="W24" s="81"/>
    </row>
    <row r="25" spans="1:27" ht="17" customHeight="1" x14ac:dyDescent="0.2">
      <c r="A25" s="65" t="s">
        <v>21</v>
      </c>
      <c r="B25" s="65" t="s">
        <v>36</v>
      </c>
      <c r="C25" s="62">
        <v>5</v>
      </c>
      <c r="D25" s="66" t="s">
        <v>65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273</v>
      </c>
      <c r="P25" s="81"/>
      <c r="Q25" s="81"/>
      <c r="R25" s="81"/>
      <c r="S25" s="81"/>
      <c r="T25" s="95"/>
      <c r="W25" s="81"/>
    </row>
    <row r="26" spans="1:27" ht="17" customHeight="1" x14ac:dyDescent="0.2">
      <c r="A26" s="65" t="s">
        <v>21</v>
      </c>
      <c r="B26" s="65" t="s">
        <v>36</v>
      </c>
      <c r="C26" s="62">
        <v>6</v>
      </c>
      <c r="D26" s="66" t="s">
        <v>66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266</v>
      </c>
      <c r="P26" s="81"/>
      <c r="Q26" s="81"/>
      <c r="R26" s="81"/>
      <c r="S26" s="81"/>
      <c r="T26" s="95"/>
      <c r="W26" s="81"/>
    </row>
    <row r="27" spans="1:27" ht="17" customHeight="1" x14ac:dyDescent="0.2">
      <c r="A27" s="65" t="s">
        <v>21</v>
      </c>
      <c r="B27" s="65" t="s">
        <v>36</v>
      </c>
      <c r="C27" s="62">
        <v>7</v>
      </c>
      <c r="D27" s="66" t="s">
        <v>67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259</v>
      </c>
      <c r="P27" s="81"/>
      <c r="Q27" s="81"/>
      <c r="R27" s="81"/>
      <c r="S27" s="81"/>
      <c r="T27" s="95"/>
      <c r="W27" s="81"/>
    </row>
    <row r="28" spans="1:27" ht="17" customHeight="1" x14ac:dyDescent="0.2">
      <c r="A28" s="65" t="s">
        <v>21</v>
      </c>
      <c r="B28" s="65" t="s">
        <v>36</v>
      </c>
      <c r="C28" s="62">
        <v>8</v>
      </c>
      <c r="D28" s="66" t="s">
        <v>68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251.99999999999997</v>
      </c>
      <c r="P28" s="81"/>
      <c r="Q28" s="81"/>
      <c r="R28" s="81"/>
      <c r="S28" s="81"/>
      <c r="T28" s="95"/>
      <c r="W28" s="81"/>
    </row>
    <row r="29" spans="1:27" ht="17" customHeight="1" x14ac:dyDescent="0.2">
      <c r="A29" s="65" t="s">
        <v>21</v>
      </c>
      <c r="B29" s="65" t="s">
        <v>36</v>
      </c>
      <c r="C29" s="62">
        <v>9</v>
      </c>
      <c r="D29" s="66" t="s">
        <v>69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244.99999999999997</v>
      </c>
      <c r="P29" s="81"/>
      <c r="Q29" s="81"/>
      <c r="R29" s="81"/>
      <c r="S29" s="81"/>
      <c r="T29" s="95"/>
      <c r="W29" s="81"/>
    </row>
    <row r="30" spans="1:27" ht="17" customHeight="1" x14ac:dyDescent="0.2">
      <c r="A30" s="65" t="s">
        <v>21</v>
      </c>
      <c r="B30" s="65" t="s">
        <v>36</v>
      </c>
      <c r="C30" s="62">
        <v>10</v>
      </c>
      <c r="D30" s="66" t="s">
        <v>70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237.99999999999997</v>
      </c>
      <c r="P30" s="81"/>
      <c r="Q30" s="81"/>
      <c r="R30" s="81"/>
      <c r="S30" s="81"/>
      <c r="T30" s="95"/>
      <c r="W30" s="81"/>
    </row>
    <row r="31" spans="1:27" ht="17" customHeight="1" x14ac:dyDescent="0.2">
      <c r="A31" s="65" t="s">
        <v>21</v>
      </c>
      <c r="B31" s="65" t="s">
        <v>36</v>
      </c>
      <c r="C31" s="62">
        <v>11</v>
      </c>
      <c r="D31" s="66" t="s">
        <v>71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230.99999999999997</v>
      </c>
      <c r="P31" s="81"/>
      <c r="Q31" s="81"/>
      <c r="R31" s="81"/>
      <c r="S31" s="81"/>
      <c r="T31" s="95"/>
      <c r="W31" s="81"/>
    </row>
    <row r="32" spans="1:27" ht="17" customHeight="1" x14ac:dyDescent="0.2">
      <c r="A32" s="65" t="s">
        <v>21</v>
      </c>
      <c r="B32" s="65" t="s">
        <v>36</v>
      </c>
      <c r="C32" s="62">
        <v>12</v>
      </c>
      <c r="D32" s="66" t="s">
        <v>72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224</v>
      </c>
      <c r="P32" s="81"/>
      <c r="Q32" s="81"/>
      <c r="R32" s="81"/>
      <c r="S32" s="81"/>
      <c r="T32" s="95"/>
      <c r="W32" s="81"/>
      <c r="Y32" s="81"/>
      <c r="Z32" s="81"/>
      <c r="AA32" s="95"/>
    </row>
    <row r="33" spans="1:27" ht="17" customHeight="1" x14ac:dyDescent="0.2">
      <c r="A33" s="65" t="s">
        <v>21</v>
      </c>
      <c r="B33" s="65" t="s">
        <v>36</v>
      </c>
      <c r="C33" s="62">
        <v>13</v>
      </c>
      <c r="D33" s="66" t="s">
        <v>73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217</v>
      </c>
      <c r="P33" s="81"/>
      <c r="Q33" s="81"/>
      <c r="R33" s="81"/>
      <c r="S33" s="81"/>
      <c r="T33" s="95"/>
      <c r="W33" s="81"/>
      <c r="X33" s="81"/>
      <c r="Y33" s="81"/>
      <c r="Z33" s="81"/>
      <c r="AA33" s="95"/>
    </row>
    <row r="34" spans="1:27" ht="17" customHeight="1" x14ac:dyDescent="0.2">
      <c r="A34" s="65" t="s">
        <v>21</v>
      </c>
      <c r="B34" s="65" t="s">
        <v>36</v>
      </c>
      <c r="C34" s="62">
        <v>14</v>
      </c>
      <c r="D34" s="66" t="s">
        <v>74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210</v>
      </c>
      <c r="P34" s="81"/>
      <c r="Q34" s="81"/>
      <c r="R34" s="81"/>
      <c r="S34" s="81"/>
      <c r="T34" s="95"/>
      <c r="W34" s="81"/>
    </row>
    <row r="35" spans="1:27" ht="19" x14ac:dyDescent="0.2">
      <c r="A35" s="65" t="s">
        <v>21</v>
      </c>
      <c r="B35" s="65" t="s">
        <v>36</v>
      </c>
      <c r="C35" s="62">
        <v>15</v>
      </c>
      <c r="D35" s="66" t="s">
        <v>75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203</v>
      </c>
      <c r="P35" s="81"/>
      <c r="Q35" s="81"/>
      <c r="R35" s="81"/>
      <c r="S35" s="81"/>
      <c r="T35" s="95"/>
      <c r="W35" s="81"/>
    </row>
    <row r="36" spans="1:27" ht="19" x14ac:dyDescent="0.2">
      <c r="A36" s="65" t="s">
        <v>21</v>
      </c>
      <c r="B36" s="65" t="s">
        <v>36</v>
      </c>
      <c r="C36" s="62">
        <v>16</v>
      </c>
      <c r="D36" s="66" t="s">
        <v>76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196</v>
      </c>
      <c r="P36" s="81"/>
      <c r="Q36" s="81"/>
      <c r="R36" s="81"/>
      <c r="S36" s="81"/>
      <c r="T36" s="95"/>
      <c r="W36"/>
    </row>
    <row r="37" spans="1:27" ht="19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300</v>
      </c>
      <c r="P37" s="81"/>
      <c r="Q37" s="81"/>
      <c r="R37" s="81"/>
      <c r="S37" s="81"/>
      <c r="T37" s="95"/>
      <c r="U37" s="81"/>
      <c r="V37"/>
      <c r="W37"/>
    </row>
    <row r="38" spans="1:27" ht="19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270</v>
      </c>
      <c r="P38" s="81"/>
      <c r="Q38" s="81"/>
      <c r="R38" s="81"/>
      <c r="S38" s="81"/>
      <c r="T38" s="95"/>
      <c r="W38" s="81"/>
      <c r="X38" s="95"/>
      <c r="Y38" s="81"/>
      <c r="Z38"/>
    </row>
    <row r="39" spans="1:27" ht="17" customHeight="1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252</v>
      </c>
      <c r="P39" s="81"/>
      <c r="Q39" s="81"/>
      <c r="R39" s="81"/>
      <c r="S39" s="81"/>
      <c r="T39" s="95"/>
      <c r="W39" s="81"/>
      <c r="X39" s="95"/>
      <c r="Z39" s="81"/>
    </row>
    <row r="40" spans="1:27" ht="19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65"/>
      <c r="G40" s="62"/>
      <c r="H40" s="85"/>
      <c r="I40" s="55">
        <f>VLOOKUP(C40,'Points Table'!A$3:L$43,IF(A40="A Grade / Juniors",4,IF(A40="B Grade",6,IF(A40="C Grade",8,IF(A40="D Grade",10,12)))))</f>
        <v>240</v>
      </c>
      <c r="P40" s="81"/>
      <c r="Q40" s="81"/>
      <c r="R40" s="81"/>
      <c r="S40" s="81"/>
      <c r="T40" s="95"/>
      <c r="W40" s="81"/>
      <c r="X40" s="95"/>
      <c r="Z40" s="81"/>
    </row>
    <row r="41" spans="1:27" ht="19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65"/>
      <c r="G41" s="62"/>
      <c r="H41" s="85"/>
      <c r="I41" s="55">
        <f>VLOOKUP(C41,'Points Table'!A$3:L$43,IF(A41="A Grade / Juniors",4,IF(A41="B Grade",6,IF(A41="C Grade",8,IF(A41="D Grade",10,12)))))</f>
        <v>234</v>
      </c>
      <c r="P41" s="81"/>
      <c r="Q41" s="81"/>
      <c r="R41" s="81"/>
      <c r="S41" s="81"/>
      <c r="T41" s="95"/>
      <c r="W41"/>
    </row>
    <row r="42" spans="1:27" ht="19" x14ac:dyDescent="0.2">
      <c r="A42" s="65" t="s">
        <v>59</v>
      </c>
      <c r="B42" s="65" t="s">
        <v>38</v>
      </c>
      <c r="C42" s="62">
        <v>1</v>
      </c>
      <c r="D42" s="66" t="s">
        <v>60</v>
      </c>
      <c r="E42" s="62" t="s">
        <v>61</v>
      </c>
      <c r="F42" s="65"/>
      <c r="G42" s="62"/>
      <c r="H42" s="85"/>
      <c r="I42" s="55">
        <f>VLOOKUP(C42,'Points Table'!A$3:L$43,IF(A42="A Grade / Juniors",4,IF(A42="B Grade",6,IF(A42="C Grade",8,IF(A42="D Grade",10,12)))))</f>
        <v>500</v>
      </c>
      <c r="P42" s="81"/>
      <c r="Q42" s="81"/>
      <c r="R42" s="81"/>
      <c r="S42" s="81"/>
      <c r="T42" s="95"/>
      <c r="U42" s="81"/>
      <c r="V42"/>
      <c r="W42"/>
      <c r="X42" s="81"/>
      <c r="Y42" s="81"/>
      <c r="Z42" s="95"/>
      <c r="AA42"/>
    </row>
    <row r="43" spans="1:27" ht="19" x14ac:dyDescent="0.2">
      <c r="A43" s="65" t="s">
        <v>59</v>
      </c>
      <c r="B43" s="65" t="s">
        <v>38</v>
      </c>
      <c r="C43" s="62">
        <v>2</v>
      </c>
      <c r="D43" s="66" t="s">
        <v>62</v>
      </c>
      <c r="E43" s="62" t="s">
        <v>61</v>
      </c>
      <c r="F43" s="65"/>
      <c r="G43" s="62"/>
      <c r="H43" s="85"/>
      <c r="I43" s="55">
        <f>VLOOKUP(C43,'Points Table'!A$3:L$43,IF(A43="A Grade / Juniors",4,IF(A43="B Grade",6,IF(A43="C Grade",8,IF(A43="D Grade",10,12)))))</f>
        <v>450</v>
      </c>
      <c r="P43" s="81"/>
      <c r="Q43" s="81"/>
      <c r="R43" s="81"/>
      <c r="S43" s="81"/>
      <c r="T43" s="95"/>
      <c r="W43" s="81"/>
      <c r="X43" s="81"/>
      <c r="Y43" s="81"/>
      <c r="Z43" s="95"/>
      <c r="AA43" s="81"/>
    </row>
    <row r="44" spans="1:27" ht="19" x14ac:dyDescent="0.2">
      <c r="A44" s="65" t="s">
        <v>59</v>
      </c>
      <c r="B44" s="65" t="s">
        <v>38</v>
      </c>
      <c r="C44" s="62">
        <v>3</v>
      </c>
      <c r="D44" s="66" t="s">
        <v>63</v>
      </c>
      <c r="E44" s="62" t="s">
        <v>61</v>
      </c>
      <c r="F44" s="65"/>
      <c r="G44" s="62"/>
      <c r="H44" s="85"/>
      <c r="I44" s="55">
        <f>VLOOKUP(C44,'Points Table'!A$3:L$43,IF(A44="A Grade / Juniors",4,IF(A44="B Grade",6,IF(A44="C Grade",8,IF(A44="D Grade",10,12)))))</f>
        <v>420</v>
      </c>
      <c r="P44" s="81"/>
      <c r="Q44" s="81"/>
      <c r="R44" s="81"/>
      <c r="S44" s="81"/>
      <c r="T44" s="95"/>
      <c r="W44"/>
      <c r="X44" s="81"/>
      <c r="Y44" s="81"/>
      <c r="Z44" s="95"/>
      <c r="AA44"/>
    </row>
    <row r="45" spans="1:27" ht="17" x14ac:dyDescent="0.2">
      <c r="A45" s="65" t="s">
        <v>21</v>
      </c>
      <c r="B45" s="65" t="s">
        <v>40</v>
      </c>
      <c r="C45" s="62">
        <v>1</v>
      </c>
      <c r="D45" s="66" t="s">
        <v>60</v>
      </c>
      <c r="E45" s="62" t="s">
        <v>61</v>
      </c>
      <c r="F45" s="65"/>
      <c r="G45" s="62"/>
      <c r="H45" s="85"/>
      <c r="I45" s="55">
        <f>VLOOKUP(C45,'Points Table'!A$3:L$43,IF(A45="A Grade / Juniors",4,IF(A45="B Grade",6,IF(A45="C Grade",8,IF(A45="D Grade",10,12)))))</f>
        <v>350</v>
      </c>
    </row>
    <row r="46" spans="1:27" ht="19" customHeight="1" x14ac:dyDescent="0.2">
      <c r="A46" s="65" t="s">
        <v>41</v>
      </c>
      <c r="B46" s="65" t="s">
        <v>45</v>
      </c>
      <c r="C46" s="62">
        <v>1</v>
      </c>
      <c r="D46" s="66" t="s">
        <v>60</v>
      </c>
      <c r="E46" s="62" t="s">
        <v>61</v>
      </c>
      <c r="F46" s="65"/>
      <c r="G46" s="62"/>
      <c r="H46" s="85"/>
      <c r="I46" s="55">
        <f>VLOOKUP(C46,'Points Table'!A$3:L$43,IF(A46="A Grade / Juniors",4,IF(A46="B Grade",6,IF(A46="C Grade",8,IF(A46="D Grade",10,12)))))</f>
        <v>500</v>
      </c>
    </row>
    <row r="47" spans="1:27" ht="17" customHeight="1" x14ac:dyDescent="0.2">
      <c r="A47" s="65" t="s">
        <v>41</v>
      </c>
      <c r="B47" s="65" t="s">
        <v>46</v>
      </c>
      <c r="C47" s="62">
        <v>1</v>
      </c>
      <c r="D47" s="66" t="s">
        <v>60</v>
      </c>
      <c r="E47" s="62" t="s">
        <v>61</v>
      </c>
      <c r="F47" s="65"/>
      <c r="G47" s="62"/>
      <c r="H47" s="85"/>
      <c r="I47" s="55">
        <f>VLOOKUP(C47,'Points Table'!A$3:L$43,IF(A47="A Grade / Juniors",4,IF(A47="B Grade",6,IF(A47="C Grade",8,IF(A47="D Grade",10,12)))))</f>
        <v>500</v>
      </c>
      <c r="P47" s="81"/>
      <c r="Q47" s="81"/>
      <c r="R47" s="81"/>
      <c r="S47" s="81"/>
      <c r="T47" s="95"/>
      <c r="U47" s="81"/>
      <c r="V47"/>
      <c r="W47"/>
    </row>
    <row r="48" spans="1:27" ht="18" customHeight="1" x14ac:dyDescent="0.2">
      <c r="A48" s="65" t="s">
        <v>41</v>
      </c>
      <c r="B48" s="65" t="s">
        <v>46</v>
      </c>
      <c r="C48" s="62">
        <v>2</v>
      </c>
      <c r="D48" s="66" t="s">
        <v>62</v>
      </c>
      <c r="E48" s="62" t="s">
        <v>61</v>
      </c>
      <c r="F48" s="65"/>
      <c r="G48" s="62"/>
      <c r="H48" s="85"/>
      <c r="I48" s="55">
        <f>VLOOKUP(C48,'Points Table'!A$3:L$43,IF(A48="A Grade / Juniors",4,IF(A48="B Grade",6,IF(A48="C Grade",8,IF(A48="D Grade",10,12)))))</f>
        <v>450</v>
      </c>
      <c r="P48" s="81"/>
      <c r="Q48" s="81"/>
      <c r="R48" s="81"/>
      <c r="S48" s="81"/>
      <c r="T48" s="95"/>
      <c r="W48" s="81"/>
    </row>
    <row r="49" spans="1:23" ht="17" customHeight="1" x14ac:dyDescent="0.2">
      <c r="A49" s="65" t="s">
        <v>41</v>
      </c>
      <c r="B49" s="65" t="s">
        <v>46</v>
      </c>
      <c r="C49" s="62">
        <v>3</v>
      </c>
      <c r="D49" s="66" t="s">
        <v>63</v>
      </c>
      <c r="E49" s="62" t="s">
        <v>61</v>
      </c>
      <c r="F49" s="65"/>
      <c r="G49" s="62"/>
      <c r="H49" s="85"/>
      <c r="I49" s="55">
        <f>VLOOKUP(C49,'Points Table'!A$3:L$43,IF(A49="A Grade / Juniors",4,IF(A49="B Grade",6,IF(A49="C Grade",8,IF(A49="D Grade",10,12)))))</f>
        <v>420</v>
      </c>
      <c r="P49" s="81"/>
      <c r="Q49" s="81"/>
      <c r="R49" s="81"/>
      <c r="S49" s="81"/>
      <c r="T49" s="95"/>
      <c r="U49" s="81"/>
      <c r="V49"/>
      <c r="W49"/>
    </row>
    <row r="50" spans="1:23" ht="17" customHeight="1" x14ac:dyDescent="0.2">
      <c r="A50" s="65" t="s">
        <v>41</v>
      </c>
      <c r="B50" s="65" t="s">
        <v>46</v>
      </c>
      <c r="C50" s="62">
        <v>4</v>
      </c>
      <c r="D50" s="66" t="s">
        <v>64</v>
      </c>
      <c r="E50" s="62" t="s">
        <v>61</v>
      </c>
      <c r="F50" s="65"/>
      <c r="G50" s="62"/>
      <c r="H50" s="85"/>
      <c r="I50" s="55">
        <f>VLOOKUP(C50,'Points Table'!A$3:L$43,IF(A50="A Grade / Juniors",4,IF(A50="B Grade",6,IF(A50="C Grade",8,IF(A50="D Grade",10,12)))))</f>
        <v>400</v>
      </c>
      <c r="P50" s="81"/>
      <c r="Q50" s="81"/>
      <c r="R50" s="81"/>
      <c r="S50" s="81"/>
      <c r="T50" s="95"/>
      <c r="W50" s="81"/>
    </row>
    <row r="51" spans="1:23" ht="17" customHeight="1" x14ac:dyDescent="0.2">
      <c r="A51" s="65" t="s">
        <v>41</v>
      </c>
      <c r="B51" s="65" t="s">
        <v>47</v>
      </c>
      <c r="C51" s="62">
        <v>1</v>
      </c>
      <c r="D51" s="66" t="s">
        <v>60</v>
      </c>
      <c r="E51" s="62" t="s">
        <v>61</v>
      </c>
      <c r="F51" s="65"/>
      <c r="G51" s="62"/>
      <c r="H51" s="85"/>
      <c r="I51" s="55">
        <f>VLOOKUP(C51,'Points Table'!A$3:L$43,IF(A51="A Grade / Juniors",4,IF(A51="B Grade",6,IF(A51="C Grade",8,IF(A51="D Grade",10,12)))))</f>
        <v>500</v>
      </c>
      <c r="J51" s="64"/>
      <c r="P51" s="81"/>
      <c r="Q51" s="81"/>
      <c r="R51" s="81"/>
      <c r="S51" s="81"/>
      <c r="T51" s="95"/>
      <c r="W51"/>
    </row>
    <row r="52" spans="1:23" ht="17" customHeight="1" x14ac:dyDescent="0.2">
      <c r="A52" s="65" t="s">
        <v>41</v>
      </c>
      <c r="B52" s="65" t="s">
        <v>47</v>
      </c>
      <c r="C52" s="62">
        <v>2</v>
      </c>
      <c r="D52" s="66" t="s">
        <v>62</v>
      </c>
      <c r="E52" s="62" t="s">
        <v>61</v>
      </c>
      <c r="F52" s="65"/>
      <c r="G52" s="62"/>
      <c r="H52" s="85"/>
      <c r="I52" s="55">
        <f>VLOOKUP(C52,'Points Table'!A$3:L$43,IF(A52="A Grade / Juniors",4,IF(A52="B Grade",6,IF(A52="C Grade",8,IF(A52="D Grade",10,12)))))</f>
        <v>450</v>
      </c>
    </row>
    <row r="53" spans="1:23" ht="17" customHeight="1" x14ac:dyDescent="0.2">
      <c r="A53" s="65" t="s">
        <v>41</v>
      </c>
      <c r="B53" s="65" t="s">
        <v>47</v>
      </c>
      <c r="C53" s="62">
        <v>3</v>
      </c>
      <c r="D53" s="66" t="s">
        <v>63</v>
      </c>
      <c r="E53" s="62" t="s">
        <v>61</v>
      </c>
      <c r="F53" s="65"/>
      <c r="G53" s="62"/>
      <c r="H53" s="85"/>
      <c r="I53" s="55">
        <f>VLOOKUP(C53,'Points Table'!A$3:L$43,IF(A53="A Grade / Juniors",4,IF(A53="B Grade",6,IF(A53="C Grade",8,IF(A53="D Grade",10,12)))))</f>
        <v>420</v>
      </c>
    </row>
    <row r="54" spans="1:23" ht="17" customHeight="1" x14ac:dyDescent="0.2">
      <c r="A54" s="65" t="s">
        <v>41</v>
      </c>
      <c r="B54" s="65" t="s">
        <v>85</v>
      </c>
      <c r="C54" s="62">
        <v>1</v>
      </c>
      <c r="D54" s="66" t="s">
        <v>60</v>
      </c>
      <c r="E54" s="62" t="s">
        <v>61</v>
      </c>
      <c r="F54" s="65"/>
      <c r="G54" s="62"/>
      <c r="H54" s="85"/>
      <c r="I54" s="55">
        <f>VLOOKUP(C54,'Points Table'!A$3:L$43,IF(A54="A Grade / Juniors",4,IF(A54="B Grade",6,IF(A54="C Grade",8,IF(A54="D Grade",10,12)))))</f>
        <v>500</v>
      </c>
      <c r="P54" s="81"/>
      <c r="Q54" s="81"/>
      <c r="R54" s="81"/>
      <c r="S54" s="81"/>
      <c r="T54" s="95"/>
    </row>
  </sheetData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50"/>
  <sheetViews>
    <sheetView workbookViewId="0">
      <selection activeCell="F2" sqref="F2:H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4" bestFit="1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  <c r="R2" s="112"/>
      <c r="S2" s="117"/>
      <c r="T2" s="118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R3" s="112"/>
      <c r="S3" s="117"/>
      <c r="T3" s="118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R4" s="112"/>
      <c r="S4" s="124"/>
      <c r="T4" s="123"/>
      <c r="U4" s="112"/>
      <c r="V4" s="81"/>
      <c r="X4" s="81"/>
      <c r="Y4" s="81"/>
      <c r="Z4" s="95"/>
      <c r="AA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R5" s="112"/>
      <c r="S5" s="124"/>
      <c r="T5" s="123"/>
      <c r="U5" s="112"/>
      <c r="V5" s="81"/>
      <c r="W5" s="81"/>
      <c r="Y5" s="81"/>
      <c r="Z5" s="81"/>
      <c r="AA5" s="95"/>
      <c r="AB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R6" s="112"/>
      <c r="S6" s="124"/>
      <c r="T6" s="123"/>
      <c r="U6" s="112"/>
      <c r="V6" s="81"/>
      <c r="W6" s="81"/>
      <c r="X6" s="81"/>
      <c r="Y6" s="81"/>
      <c r="Z6" s="81"/>
      <c r="AA6" s="95"/>
      <c r="AB6" s="81"/>
      <c r="AC6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R7" s="112"/>
      <c r="S7" s="124"/>
      <c r="T7" s="123"/>
      <c r="U7" s="112"/>
      <c r="V7" s="81"/>
      <c r="W7" s="81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R8" s="112"/>
      <c r="S8" s="124"/>
      <c r="T8" s="123"/>
      <c r="U8" s="112"/>
      <c r="V8" s="81"/>
      <c r="W8" s="81"/>
      <c r="X8" s="81"/>
      <c r="Y8" s="81"/>
      <c r="Z8" s="81"/>
      <c r="AA8" s="95"/>
      <c r="AB8" s="81"/>
      <c r="AC8" s="81"/>
    </row>
    <row r="9" spans="1:29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375</v>
      </c>
      <c r="R9" s="112"/>
      <c r="S9" s="124"/>
      <c r="T9" s="123"/>
      <c r="U9" s="112"/>
      <c r="V9" s="81"/>
      <c r="W9" s="81"/>
      <c r="X9" s="81"/>
      <c r="Y9" s="81"/>
      <c r="Z9" s="81"/>
      <c r="AA9" s="95"/>
      <c r="AB9" s="81"/>
      <c r="AC9" s="81"/>
    </row>
    <row r="10" spans="1:29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337.5</v>
      </c>
      <c r="R10" s="112"/>
      <c r="S10" s="124"/>
      <c r="T10" s="123"/>
      <c r="U10" s="112"/>
      <c r="V10" s="81"/>
      <c r="W10" s="81"/>
      <c r="X10" s="81"/>
      <c r="Y10" s="81"/>
      <c r="Z10" s="81"/>
      <c r="AA10" s="95"/>
      <c r="AB10" s="81"/>
      <c r="AC10" s="81"/>
    </row>
    <row r="11" spans="1:29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315</v>
      </c>
      <c r="R11" s="112"/>
      <c r="S11" s="124"/>
      <c r="T11" s="123"/>
      <c r="U11" s="112"/>
      <c r="V11" s="81"/>
      <c r="W11" s="81"/>
      <c r="X11" s="81"/>
      <c r="Y11" s="81"/>
      <c r="Z11" s="81"/>
      <c r="AA11" s="95"/>
      <c r="AB11" s="81"/>
      <c r="AC11" s="81"/>
    </row>
    <row r="12" spans="1:29" ht="17" customHeight="1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300</v>
      </c>
      <c r="R12" s="112"/>
      <c r="S12" s="124"/>
      <c r="T12" s="123"/>
      <c r="U12" s="112"/>
      <c r="V12" s="81"/>
      <c r="W12" s="81"/>
      <c r="X12" s="81"/>
      <c r="Y12" s="81"/>
      <c r="Z12" s="81"/>
      <c r="AA12" s="95"/>
      <c r="AB12" s="81"/>
      <c r="AC12" s="81"/>
    </row>
    <row r="13" spans="1:29" ht="17" customHeight="1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292.5</v>
      </c>
      <c r="R13" s="112"/>
      <c r="S13" s="124"/>
      <c r="T13" s="123"/>
      <c r="U13" s="81"/>
      <c r="V13" s="81"/>
      <c r="W13" s="81"/>
      <c r="X13" s="81"/>
      <c r="Y13" s="81"/>
      <c r="Z13" s="81"/>
      <c r="AA13" s="81"/>
      <c r="AB13" s="95"/>
      <c r="AC13" s="81"/>
    </row>
    <row r="14" spans="1:29" ht="17" customHeight="1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285</v>
      </c>
      <c r="U14" s="81"/>
      <c r="V14" s="81"/>
      <c r="W14" s="81"/>
      <c r="X14" s="81"/>
      <c r="Y14" s="81"/>
      <c r="Z14" s="81"/>
      <c r="AA14" s="81"/>
      <c r="AB14" s="95"/>
      <c r="AC14" s="81"/>
    </row>
    <row r="15" spans="1:29" ht="17" customHeight="1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277.5</v>
      </c>
      <c r="V15" s="81"/>
      <c r="W15" s="81"/>
      <c r="X15" s="81"/>
      <c r="Y15" s="81"/>
      <c r="Z15" s="81"/>
      <c r="AA15" s="81"/>
      <c r="AB15" s="95"/>
      <c r="AC15"/>
    </row>
    <row r="16" spans="1:29" ht="17" customHeight="1" x14ac:dyDescent="0.2">
      <c r="A16" s="65" t="s">
        <v>21</v>
      </c>
      <c r="B16" s="65" t="s">
        <v>36</v>
      </c>
      <c r="C16" s="62">
        <v>1</v>
      </c>
      <c r="D16" s="66" t="s">
        <v>60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350</v>
      </c>
    </row>
    <row r="17" spans="1:23" ht="17" customHeight="1" x14ac:dyDescent="0.2">
      <c r="A17" s="65" t="s">
        <v>21</v>
      </c>
      <c r="B17" s="65" t="s">
        <v>36</v>
      </c>
      <c r="C17" s="62">
        <v>2</v>
      </c>
      <c r="D17" s="66" t="s">
        <v>62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315</v>
      </c>
      <c r="R17" s="112"/>
      <c r="S17" s="117"/>
      <c r="T17" s="118"/>
    </row>
    <row r="18" spans="1:23" ht="17" customHeight="1" x14ac:dyDescent="0.2">
      <c r="A18" s="65" t="s">
        <v>21</v>
      </c>
      <c r="B18" s="65" t="s">
        <v>36</v>
      </c>
      <c r="C18" s="62">
        <v>3</v>
      </c>
      <c r="D18" s="66" t="s">
        <v>63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294</v>
      </c>
      <c r="R18" s="112"/>
      <c r="S18" s="125"/>
      <c r="T18" s="123"/>
      <c r="U18" s="112"/>
    </row>
    <row r="19" spans="1:23" ht="17" customHeight="1" x14ac:dyDescent="0.2">
      <c r="A19" s="65" t="s">
        <v>21</v>
      </c>
      <c r="B19" s="65" t="s">
        <v>36</v>
      </c>
      <c r="C19" s="62">
        <v>4</v>
      </c>
      <c r="D19" s="66" t="s">
        <v>64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280</v>
      </c>
      <c r="R19" s="112"/>
      <c r="S19" s="125"/>
      <c r="T19" s="123"/>
      <c r="U19" s="112"/>
    </row>
    <row r="20" spans="1:23" ht="17" customHeight="1" x14ac:dyDescent="0.2">
      <c r="A20" s="65" t="s">
        <v>21</v>
      </c>
      <c r="B20" s="65" t="s">
        <v>36</v>
      </c>
      <c r="C20" s="62">
        <v>5</v>
      </c>
      <c r="D20" s="66" t="s">
        <v>65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273</v>
      </c>
      <c r="R20" s="112"/>
      <c r="S20" s="125"/>
      <c r="T20" s="123"/>
      <c r="U20" s="112"/>
    </row>
    <row r="21" spans="1:23" ht="17" x14ac:dyDescent="0.2">
      <c r="A21" s="65" t="s">
        <v>21</v>
      </c>
      <c r="B21" s="65" t="s">
        <v>36</v>
      </c>
      <c r="C21" s="62">
        <v>6</v>
      </c>
      <c r="D21" s="66" t="s">
        <v>66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266</v>
      </c>
      <c r="R21" s="112"/>
      <c r="S21" s="125"/>
      <c r="T21" s="123"/>
      <c r="U21" s="112"/>
      <c r="W21" s="119"/>
    </row>
    <row r="22" spans="1:23" ht="17" customHeight="1" x14ac:dyDescent="0.2">
      <c r="A22" s="65" t="s">
        <v>21</v>
      </c>
      <c r="B22" s="65" t="s">
        <v>36</v>
      </c>
      <c r="C22" s="62">
        <v>7</v>
      </c>
      <c r="D22" s="66" t="s">
        <v>67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259</v>
      </c>
      <c r="R22" s="112"/>
      <c r="S22" s="125"/>
      <c r="T22" s="123"/>
      <c r="U22" s="112"/>
      <c r="W22" s="119"/>
    </row>
    <row r="23" spans="1:23" ht="17" customHeight="1" x14ac:dyDescent="0.2">
      <c r="A23" s="65" t="s">
        <v>21</v>
      </c>
      <c r="B23" s="65" t="s">
        <v>36</v>
      </c>
      <c r="C23" s="62">
        <v>8</v>
      </c>
      <c r="D23" s="66" t="s">
        <v>68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251.99999999999997</v>
      </c>
      <c r="R23" s="116"/>
      <c r="S23" s="64"/>
      <c r="T23" s="118"/>
      <c r="W23" s="119"/>
    </row>
    <row r="24" spans="1:23" ht="17" customHeight="1" x14ac:dyDescent="0.2">
      <c r="A24" s="65" t="s">
        <v>21</v>
      </c>
      <c r="B24" s="65" t="s">
        <v>36</v>
      </c>
      <c r="C24" s="62">
        <v>9</v>
      </c>
      <c r="D24" s="66" t="s">
        <v>69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244.99999999999997</v>
      </c>
      <c r="R24" s="112"/>
      <c r="S24" s="124"/>
      <c r="T24" s="123"/>
      <c r="U24" s="90"/>
      <c r="V24" s="90"/>
      <c r="W24" s="90"/>
    </row>
    <row r="25" spans="1:23" ht="17" customHeight="1" x14ac:dyDescent="0.2">
      <c r="A25" s="65" t="s">
        <v>21</v>
      </c>
      <c r="B25" s="65" t="s">
        <v>36</v>
      </c>
      <c r="C25" s="62">
        <v>10</v>
      </c>
      <c r="D25" s="66" t="s">
        <v>70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237.99999999999997</v>
      </c>
      <c r="R25" s="112"/>
      <c r="S25" s="124"/>
      <c r="T25" s="123"/>
    </row>
    <row r="26" spans="1:23" ht="17" customHeight="1" x14ac:dyDescent="0.2">
      <c r="A26" s="65" t="s">
        <v>23</v>
      </c>
      <c r="B26" s="65" t="s">
        <v>37</v>
      </c>
      <c r="C26" s="62">
        <v>1</v>
      </c>
      <c r="D26" s="66" t="s">
        <v>60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300</v>
      </c>
      <c r="R26" s="112"/>
      <c r="S26" s="124"/>
      <c r="T26" s="123"/>
      <c r="U26" s="90"/>
      <c r="V26" s="90"/>
    </row>
    <row r="27" spans="1:23" ht="17" customHeight="1" x14ac:dyDescent="0.2">
      <c r="A27" s="65" t="s">
        <v>23</v>
      </c>
      <c r="B27" s="65" t="s">
        <v>37</v>
      </c>
      <c r="C27" s="62">
        <v>2</v>
      </c>
      <c r="D27" s="66" t="s">
        <v>62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270</v>
      </c>
      <c r="R27" s="112"/>
      <c r="S27" s="124"/>
      <c r="T27" s="123"/>
    </row>
    <row r="28" spans="1:23" ht="17" customHeight="1" x14ac:dyDescent="0.2">
      <c r="A28" s="65" t="s">
        <v>23</v>
      </c>
      <c r="B28" s="65" t="s">
        <v>37</v>
      </c>
      <c r="C28" s="62">
        <v>3</v>
      </c>
      <c r="D28" s="66" t="s">
        <v>63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252</v>
      </c>
    </row>
    <row r="29" spans="1:23" ht="17" customHeight="1" x14ac:dyDescent="0.2">
      <c r="A29" s="65" t="s">
        <v>59</v>
      </c>
      <c r="B29" s="65" t="s">
        <v>38</v>
      </c>
      <c r="C29" s="62">
        <v>1</v>
      </c>
      <c r="D29" s="66" t="s">
        <v>60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500</v>
      </c>
    </row>
    <row r="30" spans="1:23" ht="17" customHeight="1" x14ac:dyDescent="0.2">
      <c r="A30" s="65" t="s">
        <v>59</v>
      </c>
      <c r="B30" s="65" t="s">
        <v>38</v>
      </c>
      <c r="C30" s="62">
        <v>2</v>
      </c>
      <c r="D30" s="66" t="s">
        <v>62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450</v>
      </c>
    </row>
    <row r="31" spans="1:23" ht="17" customHeight="1" x14ac:dyDescent="0.2">
      <c r="A31" s="65" t="s">
        <v>21</v>
      </c>
      <c r="B31" s="65" t="s">
        <v>40</v>
      </c>
      <c r="C31" s="62">
        <v>1</v>
      </c>
      <c r="D31" s="66" t="s">
        <v>60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350</v>
      </c>
    </row>
    <row r="32" spans="1:23" ht="17" customHeight="1" x14ac:dyDescent="0.2">
      <c r="A32" s="65" t="s">
        <v>21</v>
      </c>
      <c r="B32" s="65" t="s">
        <v>40</v>
      </c>
      <c r="C32" s="62">
        <v>2</v>
      </c>
      <c r="D32" s="66" t="s">
        <v>62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315</v>
      </c>
      <c r="R32" s="112"/>
      <c r="S32" s="125"/>
      <c r="T32" s="123"/>
    </row>
    <row r="33" spans="1:26" ht="17" x14ac:dyDescent="0.2">
      <c r="A33" s="65" t="s">
        <v>21</v>
      </c>
      <c r="B33" s="65" t="s">
        <v>40</v>
      </c>
      <c r="C33" s="62">
        <v>3</v>
      </c>
      <c r="D33" s="66" t="s">
        <v>63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294</v>
      </c>
      <c r="Q33" s="136"/>
      <c r="R33" s="112"/>
      <c r="S33" s="125"/>
      <c r="T33" s="123"/>
    </row>
    <row r="34" spans="1:26" ht="17" customHeight="1" x14ac:dyDescent="0.2">
      <c r="A34" s="65" t="s">
        <v>41</v>
      </c>
      <c r="B34" s="65" t="s">
        <v>46</v>
      </c>
      <c r="C34" s="62">
        <v>1</v>
      </c>
      <c r="D34" s="66" t="s">
        <v>60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500</v>
      </c>
      <c r="R34" s="112"/>
      <c r="S34" s="125"/>
      <c r="T34" s="123"/>
    </row>
    <row r="35" spans="1:26" ht="17" customHeight="1" x14ac:dyDescent="0.2">
      <c r="A35" s="65" t="s">
        <v>41</v>
      </c>
      <c r="B35" s="65" t="s">
        <v>46</v>
      </c>
      <c r="C35" s="62">
        <v>2</v>
      </c>
      <c r="D35" s="66" t="s">
        <v>62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450</v>
      </c>
      <c r="R35" s="112"/>
      <c r="S35" s="125"/>
      <c r="T35" s="123"/>
    </row>
    <row r="36" spans="1:26" ht="17" customHeight="1" x14ac:dyDescent="0.2">
      <c r="A36" s="65" t="s">
        <v>41</v>
      </c>
      <c r="B36" s="65" t="s">
        <v>46</v>
      </c>
      <c r="C36" s="62">
        <v>3</v>
      </c>
      <c r="D36" s="66" t="s">
        <v>63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420</v>
      </c>
      <c r="R36" s="112"/>
      <c r="S36" s="125"/>
      <c r="T36" s="123"/>
      <c r="U36" s="81"/>
      <c r="V36" s="81"/>
      <c r="W36" s="81"/>
      <c r="X36" s="95"/>
      <c r="Y36" s="81"/>
      <c r="Z36"/>
    </row>
    <row r="37" spans="1:26" ht="17" customHeight="1" x14ac:dyDescent="0.2">
      <c r="A37" s="65" t="s">
        <v>41</v>
      </c>
      <c r="B37" s="65" t="s">
        <v>47</v>
      </c>
      <c r="C37" s="62">
        <v>1</v>
      </c>
      <c r="D37" s="66" t="s">
        <v>60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500</v>
      </c>
      <c r="P37" s="81"/>
      <c r="Q37" s="81"/>
      <c r="R37" s="81"/>
      <c r="S37" s="81"/>
      <c r="T37" s="95"/>
    </row>
    <row r="38" spans="1:26" ht="17" customHeight="1" x14ac:dyDescent="0.2">
      <c r="A38" s="65" t="s">
        <v>41</v>
      </c>
      <c r="B38" s="65" t="s">
        <v>117</v>
      </c>
      <c r="C38" s="62">
        <v>1</v>
      </c>
      <c r="D38" s="66" t="s">
        <v>60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500</v>
      </c>
    </row>
    <row r="39" spans="1:26" ht="17" customHeight="1" x14ac:dyDescent="0.2">
      <c r="A39" s="65" t="s">
        <v>41</v>
      </c>
      <c r="B39" s="65" t="s">
        <v>85</v>
      </c>
      <c r="C39" s="62">
        <v>1</v>
      </c>
      <c r="D39" s="66" t="s">
        <v>60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500</v>
      </c>
    </row>
    <row r="40" spans="1:26" ht="17" customHeight="1" x14ac:dyDescent="0.2">
      <c r="A40" s="65"/>
      <c r="B40" s="65"/>
      <c r="D40" s="66"/>
      <c r="F40" s="113"/>
      <c r="G40" s="125"/>
      <c r="H40" s="123"/>
    </row>
    <row r="41" spans="1:26" ht="17" customHeight="1" x14ac:dyDescent="0.2">
      <c r="A41" s="65"/>
      <c r="B41" s="65"/>
      <c r="D41" s="66"/>
      <c r="F41" s="113"/>
      <c r="G41" s="125"/>
      <c r="H41" s="123"/>
    </row>
    <row r="42" spans="1:26" ht="17" customHeight="1" x14ac:dyDescent="0.2">
      <c r="F42" s="113"/>
      <c r="G42" s="125"/>
      <c r="H42" s="123"/>
      <c r="J42" s="64"/>
    </row>
    <row r="43" spans="1:26" ht="17" customHeight="1" x14ac:dyDescent="0.2">
      <c r="A43" s="65"/>
      <c r="B43" s="65"/>
      <c r="C43" s="65"/>
      <c r="D43" s="66"/>
      <c r="F43" s="113"/>
      <c r="G43" s="125"/>
      <c r="H43" s="123"/>
    </row>
    <row r="44" spans="1:26" ht="17" customHeight="1" x14ac:dyDescent="0.2">
      <c r="A44" s="65"/>
      <c r="B44" s="65"/>
      <c r="C44" s="65"/>
      <c r="D44" s="66"/>
      <c r="F44" s="113"/>
      <c r="G44" s="125"/>
      <c r="H44" s="123"/>
    </row>
    <row r="45" spans="1:26" ht="17" customHeight="1" x14ac:dyDescent="0.2">
      <c r="A45" s="65"/>
      <c r="B45" s="65"/>
      <c r="C45" s="65"/>
      <c r="D45" s="66"/>
      <c r="F45" s="113"/>
      <c r="G45" s="125"/>
      <c r="H45" s="123"/>
    </row>
    <row r="46" spans="1:26" ht="17" customHeight="1" x14ac:dyDescent="0.2">
      <c r="A46" s="65"/>
      <c r="B46" s="65"/>
      <c r="C46" s="65"/>
      <c r="D46" s="66"/>
      <c r="F46" s="113"/>
      <c r="G46" s="125"/>
      <c r="H46" s="123"/>
    </row>
    <row r="47" spans="1:26" ht="17" customHeight="1" x14ac:dyDescent="0.2">
      <c r="A47" s="65"/>
      <c r="B47" s="65"/>
      <c r="C47" s="65"/>
      <c r="D47" s="66"/>
      <c r="F47" s="113"/>
      <c r="G47" s="125"/>
      <c r="H47" s="123"/>
    </row>
    <row r="48" spans="1:26" ht="17" customHeight="1" x14ac:dyDescent="0.2">
      <c r="A48" s="65"/>
      <c r="B48" s="65"/>
      <c r="C48" s="65"/>
      <c r="D48" s="66"/>
      <c r="F48" s="113"/>
      <c r="G48" s="125"/>
      <c r="H48" s="123"/>
    </row>
    <row r="49" spans="1:8" ht="17" customHeight="1" x14ac:dyDescent="0.2">
      <c r="A49" s="65"/>
      <c r="B49" s="65"/>
      <c r="C49" s="65"/>
      <c r="D49" s="66"/>
      <c r="F49" s="113"/>
      <c r="G49" s="124"/>
      <c r="H49" s="123"/>
    </row>
    <row r="50" spans="1:8" ht="17" customHeight="1" x14ac:dyDescent="0.2">
      <c r="A50" s="65"/>
      <c r="B50" s="65"/>
      <c r="C50" s="65"/>
      <c r="D50" s="66"/>
      <c r="F50" s="113"/>
      <c r="G50" s="124"/>
      <c r="H50" s="123"/>
    </row>
  </sheetData>
  <phoneticPr fontId="1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U67"/>
  <sheetViews>
    <sheetView workbookViewId="0">
      <selection activeCell="N39" sqref="N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6384" width="8.83203125" style="62"/>
  </cols>
  <sheetData>
    <row r="1" spans="1: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16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G2" s="124"/>
      <c r="H2" s="85"/>
      <c r="I2" s="55">
        <f>VLOOKUP(C2,'Points Table'!A$3:L$43,IF(A2="A Grade / Juniors",4,IF(A2="B Grade",6,IF(A2="C Grade",8,IF(A2="D Grade",10,12)))))</f>
        <v>500</v>
      </c>
    </row>
    <row r="3" spans="1:16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G3" s="124"/>
      <c r="H3" s="85"/>
      <c r="I3" s="55">
        <f>VLOOKUP(C3,'Points Table'!A$3:L$43,IF(A3="A Grade / Juniors",4,IF(A3="B Grade",6,IF(A3="C Grade",8,IF(A3="D Grade",10,12)))))</f>
        <v>450</v>
      </c>
      <c r="P3" s="81"/>
    </row>
    <row r="4" spans="1:16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G4" s="124"/>
      <c r="H4" s="85"/>
      <c r="I4" s="55">
        <f>VLOOKUP(C4,'Points Table'!A$3:L$43,IF(A4="A Grade / Juniors",4,IF(A4="B Grade",6,IF(A4="C Grade",8,IF(A4="D Grade",10,12)))))</f>
        <v>420</v>
      </c>
    </row>
    <row r="5" spans="1:16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G5" s="124"/>
      <c r="H5" s="85"/>
      <c r="I5" s="55">
        <f>VLOOKUP(C5,'Points Table'!A$3:L$43,IF(A5="A Grade / Juniors",4,IF(A5="B Grade",6,IF(A5="C Grade",8,IF(A5="D Grade",10,12)))))</f>
        <v>400</v>
      </c>
      <c r="P5" s="81"/>
    </row>
    <row r="6" spans="1:16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G6" s="124"/>
      <c r="H6" s="85"/>
      <c r="I6" s="55">
        <f>VLOOKUP(C6,'Points Table'!A$3:L$43,IF(A6="A Grade / Juniors",4,IF(A6="B Grade",6,IF(A6="C Grade",8,IF(A6="D Grade",10,12)))))</f>
        <v>390</v>
      </c>
      <c r="P6" s="81"/>
    </row>
    <row r="7" spans="1:16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G7" s="124"/>
      <c r="H7" s="85"/>
      <c r="I7" s="55">
        <f>VLOOKUP(C7,'Points Table'!A$3:L$43,IF(A7="A Grade / Juniors",4,IF(A7="B Grade",6,IF(A7="C Grade",8,IF(A7="D Grade",10,12)))))</f>
        <v>380</v>
      </c>
      <c r="P7" s="81"/>
    </row>
    <row r="8" spans="1:16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G8" s="124"/>
      <c r="H8" s="85"/>
      <c r="I8" s="55">
        <f>VLOOKUP(C8,'Points Table'!A$3:L$43,IF(A8="A Grade / Juniors",4,IF(A8="B Grade",6,IF(A8="C Grade",8,IF(A8="D Grade",10,12)))))</f>
        <v>370</v>
      </c>
      <c r="P8" s="81"/>
    </row>
    <row r="9" spans="1:16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G9" s="124"/>
      <c r="H9" s="85"/>
      <c r="I9" s="55">
        <f>VLOOKUP(C9,'Points Table'!A$3:L$43,IF(A9="A Grade / Juniors",4,IF(A9="B Grade",6,IF(A9="C Grade",8,IF(A9="D Grade",10,12)))))</f>
        <v>360</v>
      </c>
      <c r="P9" s="81"/>
    </row>
    <row r="10" spans="1:16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G10" s="124"/>
      <c r="H10" s="85"/>
      <c r="I10" s="55">
        <f>VLOOKUP(C10,'Points Table'!A$3:L$43,IF(A10="A Grade / Juniors",4,IF(A10="B Grade",6,IF(A10="C Grade",8,IF(A10="D Grade",10,12)))))</f>
        <v>350</v>
      </c>
      <c r="P10" s="81"/>
    </row>
    <row r="11" spans="1:16" ht="17" customHeight="1" x14ac:dyDescent="0.2">
      <c r="A11" s="65" t="s">
        <v>19</v>
      </c>
      <c r="B11" s="65" t="s">
        <v>35</v>
      </c>
      <c r="C11" s="62">
        <v>1</v>
      </c>
      <c r="D11" s="66" t="s">
        <v>60</v>
      </c>
      <c r="E11" s="62" t="s">
        <v>61</v>
      </c>
      <c r="F11" s="112"/>
      <c r="G11" s="124"/>
      <c r="H11" s="85"/>
      <c r="I11" s="55">
        <f>VLOOKUP(C11,'Points Table'!A$3:L$43,IF(A11="A Grade / Juniors",4,IF(A11="B Grade",6,IF(A11="C Grade",8,IF(A11="D Grade",10,12)))))</f>
        <v>375</v>
      </c>
      <c r="P11" s="81"/>
    </row>
    <row r="12" spans="1:16" ht="17" customHeight="1" x14ac:dyDescent="0.2">
      <c r="A12" s="65" t="s">
        <v>19</v>
      </c>
      <c r="B12" s="65" t="s">
        <v>35</v>
      </c>
      <c r="C12" s="62">
        <v>2</v>
      </c>
      <c r="D12" s="66" t="s">
        <v>62</v>
      </c>
      <c r="E12" s="62" t="s">
        <v>61</v>
      </c>
      <c r="F12" s="112"/>
      <c r="G12" s="124"/>
      <c r="H12" s="85"/>
      <c r="I12" s="55">
        <f>VLOOKUP(C12,'Points Table'!A$3:L$43,IF(A12="A Grade / Juniors",4,IF(A12="B Grade",6,IF(A12="C Grade",8,IF(A12="D Grade",10,12)))))</f>
        <v>337.5</v>
      </c>
      <c r="P12" s="81"/>
    </row>
    <row r="13" spans="1:16" ht="17" customHeight="1" x14ac:dyDescent="0.2">
      <c r="A13" s="65" t="s">
        <v>19</v>
      </c>
      <c r="B13" s="65" t="s">
        <v>35</v>
      </c>
      <c r="C13" s="62">
        <v>3</v>
      </c>
      <c r="D13" s="66" t="s">
        <v>63</v>
      </c>
      <c r="E13" s="62" t="s">
        <v>61</v>
      </c>
      <c r="F13" s="112"/>
      <c r="G13" s="124"/>
      <c r="H13" s="85"/>
      <c r="I13" s="55">
        <f>VLOOKUP(C13,'Points Table'!A$3:L$43,IF(A13="A Grade / Juniors",4,IF(A13="B Grade",6,IF(A13="C Grade",8,IF(A13="D Grade",10,12)))))</f>
        <v>315</v>
      </c>
      <c r="P13" s="136"/>
    </row>
    <row r="14" spans="1:16" ht="17" customHeight="1" x14ac:dyDescent="0.2">
      <c r="A14" s="65" t="s">
        <v>19</v>
      </c>
      <c r="B14" s="65" t="s">
        <v>35</v>
      </c>
      <c r="C14" s="62">
        <v>4</v>
      </c>
      <c r="D14" s="66" t="s">
        <v>64</v>
      </c>
      <c r="E14" s="62" t="s">
        <v>61</v>
      </c>
      <c r="F14" s="112"/>
      <c r="G14" s="124"/>
      <c r="H14" s="85"/>
      <c r="I14" s="55">
        <f>VLOOKUP(C14,'Points Table'!A$3:L$43,IF(A14="A Grade / Juniors",4,IF(A14="B Grade",6,IF(A14="C Grade",8,IF(A14="D Grade",10,12)))))</f>
        <v>300</v>
      </c>
      <c r="P14" s="136"/>
    </row>
    <row r="15" spans="1:16" ht="17" customHeight="1" x14ac:dyDescent="0.2">
      <c r="A15" s="65" t="s">
        <v>19</v>
      </c>
      <c r="B15" s="65" t="s">
        <v>35</v>
      </c>
      <c r="C15" s="62">
        <v>5</v>
      </c>
      <c r="D15" s="66" t="s">
        <v>65</v>
      </c>
      <c r="E15" s="62" t="s">
        <v>61</v>
      </c>
      <c r="F15" s="112"/>
      <c r="G15" s="124"/>
      <c r="H15" s="85"/>
      <c r="I15" s="55">
        <f>VLOOKUP(C15,'Points Table'!A$3:L$43,IF(A15="A Grade / Juniors",4,IF(A15="B Grade",6,IF(A15="C Grade",8,IF(A15="D Grade",10,12)))))</f>
        <v>292.5</v>
      </c>
      <c r="P15" s="136"/>
    </row>
    <row r="16" spans="1:16" ht="17" customHeight="1" x14ac:dyDescent="0.2">
      <c r="A16" s="65" t="s">
        <v>19</v>
      </c>
      <c r="B16" s="65" t="s">
        <v>35</v>
      </c>
      <c r="C16" s="62">
        <v>6</v>
      </c>
      <c r="D16" s="66" t="s">
        <v>66</v>
      </c>
      <c r="E16" s="62" t="s">
        <v>61</v>
      </c>
      <c r="F16" s="112"/>
      <c r="G16" s="124"/>
      <c r="H16" s="85"/>
      <c r="I16" s="55">
        <f>VLOOKUP(C16,'Points Table'!A$3:L$43,IF(A16="A Grade / Juniors",4,IF(A16="B Grade",6,IF(A16="C Grade",8,IF(A16="D Grade",10,12)))))</f>
        <v>285</v>
      </c>
      <c r="P16" s="81"/>
    </row>
    <row r="17" spans="1:9" ht="17" customHeight="1" x14ac:dyDescent="0.2">
      <c r="A17" s="65" t="s">
        <v>19</v>
      </c>
      <c r="B17" s="65" t="s">
        <v>35</v>
      </c>
      <c r="C17" s="62">
        <v>7</v>
      </c>
      <c r="D17" s="66" t="s">
        <v>67</v>
      </c>
      <c r="E17" s="62" t="s">
        <v>61</v>
      </c>
      <c r="F17" s="112"/>
      <c r="G17" s="124"/>
      <c r="H17" s="85"/>
      <c r="I17" s="55">
        <f>VLOOKUP(C17,'Points Table'!A$3:L$43,IF(A17="A Grade / Juniors",4,IF(A17="B Grade",6,IF(A17="C Grade",8,IF(A17="D Grade",10,12)))))</f>
        <v>277.5</v>
      </c>
    </row>
    <row r="18" spans="1:9" ht="17" customHeight="1" x14ac:dyDescent="0.2">
      <c r="A18" s="65" t="s">
        <v>19</v>
      </c>
      <c r="B18" s="65" t="s">
        <v>35</v>
      </c>
      <c r="C18" s="62">
        <v>8</v>
      </c>
      <c r="D18" s="66" t="s">
        <v>68</v>
      </c>
      <c r="E18" s="62" t="s">
        <v>61</v>
      </c>
      <c r="F18" s="112"/>
      <c r="G18" s="124"/>
      <c r="H18" s="85"/>
      <c r="I18" s="55">
        <f>VLOOKUP(C18,'Points Table'!A$3:L$43,IF(A18="A Grade / Juniors",4,IF(A18="B Grade",6,IF(A18="C Grade",8,IF(A18="D Grade",10,12)))))</f>
        <v>270</v>
      </c>
    </row>
    <row r="19" spans="1:9" ht="17" customHeight="1" x14ac:dyDescent="0.2">
      <c r="A19" s="65" t="s">
        <v>19</v>
      </c>
      <c r="B19" s="65" t="s">
        <v>35</v>
      </c>
      <c r="C19" s="62">
        <v>9</v>
      </c>
      <c r="D19" s="66" t="s">
        <v>69</v>
      </c>
      <c r="E19" s="62" t="s">
        <v>61</v>
      </c>
      <c r="F19" s="112"/>
      <c r="G19" s="124"/>
      <c r="H19" s="85"/>
      <c r="I19" s="55">
        <f>VLOOKUP(C19,'Points Table'!A$3:L$43,IF(A19="A Grade / Juniors",4,IF(A19="B Grade",6,IF(A19="C Grade",8,IF(A19="D Grade",10,12)))))</f>
        <v>262.5</v>
      </c>
    </row>
    <row r="20" spans="1:9" ht="17" customHeight="1" x14ac:dyDescent="0.2">
      <c r="A20" s="65" t="s">
        <v>19</v>
      </c>
      <c r="B20" s="65" t="s">
        <v>35</v>
      </c>
      <c r="C20" s="62">
        <v>10</v>
      </c>
      <c r="D20" s="66" t="s">
        <v>70</v>
      </c>
      <c r="E20" s="62" t="s">
        <v>61</v>
      </c>
      <c r="F20" s="112"/>
      <c r="G20" s="124"/>
      <c r="H20" s="85"/>
      <c r="I20" s="55">
        <f>VLOOKUP(C20,'Points Table'!A$3:L$43,IF(A20="A Grade / Juniors",4,IF(A20="B Grade",6,IF(A20="C Grade",8,IF(A20="D Grade",10,12)))))</f>
        <v>255</v>
      </c>
    </row>
    <row r="21" spans="1:9" ht="17" customHeight="1" x14ac:dyDescent="0.2">
      <c r="A21" s="65" t="s">
        <v>19</v>
      </c>
      <c r="B21" s="65" t="s">
        <v>35</v>
      </c>
      <c r="C21" s="62">
        <v>11</v>
      </c>
      <c r="D21" s="66" t="s">
        <v>71</v>
      </c>
      <c r="E21" s="62" t="s">
        <v>61</v>
      </c>
      <c r="F21" s="112"/>
      <c r="G21" s="124"/>
      <c r="H21" s="85"/>
      <c r="I21" s="55">
        <f>VLOOKUP(C21,'Points Table'!A$3:L$43,IF(A21="A Grade / Juniors",4,IF(A21="B Grade",6,IF(A21="C Grade",8,IF(A21="D Grade",10,12)))))</f>
        <v>247.5</v>
      </c>
    </row>
    <row r="22" spans="1:9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/>
      <c r="G22" s="124"/>
      <c r="H22" s="85"/>
      <c r="I22" s="55">
        <f>VLOOKUP(C22,'Points Table'!A$3:L$43,IF(A22="A Grade / Juniors",4,IF(A22="B Grade",6,IF(A22="C Grade",8,IF(A22="D Grade",10,12)))))</f>
        <v>350</v>
      </c>
    </row>
    <row r="23" spans="1:9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/>
      <c r="G23" s="124"/>
      <c r="H23" s="85"/>
      <c r="I23" s="55">
        <f>VLOOKUP(C23,'Points Table'!A$3:L$43,IF(A23="A Grade / Juniors",4,IF(A23="B Grade",6,IF(A23="C Grade",8,IF(A23="D Grade",10,12)))))</f>
        <v>315</v>
      </c>
    </row>
    <row r="24" spans="1:9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/>
      <c r="G24" s="124"/>
      <c r="H24" s="85"/>
      <c r="I24" s="55">
        <f>VLOOKUP(C24,'Points Table'!A$3:L$43,IF(A24="A Grade / Juniors",4,IF(A24="B Grade",6,IF(A24="C Grade",8,IF(A24="D Grade",10,12)))))</f>
        <v>294</v>
      </c>
    </row>
    <row r="25" spans="1:9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/>
      <c r="G25" s="124"/>
      <c r="H25" s="85"/>
      <c r="I25" s="55">
        <f>VLOOKUP(C25,'Points Table'!A$3:L$43,IF(A25="A Grade / Juniors",4,IF(A25="B Grade",6,IF(A25="C Grade",8,IF(A25="D Grade",10,12)))))</f>
        <v>280</v>
      </c>
    </row>
    <row r="26" spans="1:9" ht="17" customHeight="1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/>
      <c r="G26" s="124"/>
      <c r="H26" s="85"/>
      <c r="I26" s="55">
        <f>VLOOKUP(C26,'Points Table'!A$3:L$43,IF(A26="A Grade / Juniors",4,IF(A26="B Grade",6,IF(A26="C Grade",8,IF(A26="D Grade",10,12)))))</f>
        <v>273</v>
      </c>
    </row>
    <row r="27" spans="1:9" ht="17" customHeight="1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/>
      <c r="G27" s="124"/>
      <c r="H27" s="85"/>
      <c r="I27" s="55">
        <f>VLOOKUP(C27,'Points Table'!A$3:L$43,IF(A27="A Grade / Juniors",4,IF(A27="B Grade",6,IF(A27="C Grade",8,IF(A27="D Grade",10,12)))))</f>
        <v>266</v>
      </c>
    </row>
    <row r="28" spans="1:9" ht="17" customHeight="1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/>
      <c r="G28" s="124"/>
      <c r="H28" s="85"/>
      <c r="I28" s="55">
        <f>VLOOKUP(C28,'Points Table'!A$3:L$43,IF(A28="A Grade / Juniors",4,IF(A28="B Grade",6,IF(A28="C Grade",8,IF(A28="D Grade",10,12)))))</f>
        <v>259</v>
      </c>
    </row>
    <row r="29" spans="1:9" ht="17" customHeight="1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/>
      <c r="G29" s="124"/>
      <c r="H29" s="85"/>
      <c r="I29" s="55">
        <f>VLOOKUP(C29,'Points Table'!A$3:L$43,IF(A29="A Grade / Juniors",4,IF(A29="B Grade",6,IF(A29="C Grade",8,IF(A29="D Grade",10,12)))))</f>
        <v>251.99999999999997</v>
      </c>
    </row>
    <row r="30" spans="1:9" ht="17" customHeight="1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/>
      <c r="G30" s="124"/>
      <c r="H30" s="85"/>
      <c r="I30" s="55">
        <f>VLOOKUP(C30,'Points Table'!A$3:L$43,IF(A30="A Grade / Juniors",4,IF(A30="B Grade",6,IF(A30="C Grade",8,IF(A30="D Grade",10,12)))))</f>
        <v>244.99999999999997</v>
      </c>
    </row>
    <row r="31" spans="1:9" ht="17" customHeight="1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/>
      <c r="G31" s="124"/>
      <c r="H31" s="85"/>
      <c r="I31" s="55">
        <f>VLOOKUP(C31,'Points Table'!A$3:L$43,IF(A31="A Grade / Juniors",4,IF(A31="B Grade",6,IF(A31="C Grade",8,IF(A31="D Grade",10,12)))))</f>
        <v>237.99999999999997</v>
      </c>
    </row>
    <row r="32" spans="1:9" ht="17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/>
      <c r="G32" s="124"/>
      <c r="H32" s="85"/>
      <c r="I32" s="55">
        <f>VLOOKUP(C32,'Points Table'!A$3:L$43,IF(A32="A Grade / Juniors",4,IF(A32="B Grade",6,IF(A32="C Grade",8,IF(A32="D Grade",10,12)))))</f>
        <v>230.99999999999997</v>
      </c>
    </row>
    <row r="33" spans="1:16" ht="17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/>
      <c r="G33" s="124"/>
      <c r="H33" s="85"/>
      <c r="I33" s="55">
        <f>VLOOKUP(C33,'Points Table'!A$3:L$43,IF(A33="A Grade / Juniors",4,IF(A33="B Grade",6,IF(A33="C Grade",8,IF(A33="D Grade",10,12)))))</f>
        <v>224</v>
      </c>
    </row>
    <row r="34" spans="1:16" ht="17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/>
      <c r="G34" s="124"/>
      <c r="H34" s="85"/>
      <c r="I34" s="55">
        <f>VLOOKUP(C34,'Points Table'!A$3:L$43,IF(A34="A Grade / Juniors",4,IF(A34="B Grade",6,IF(A34="C Grade",8,IF(A34="D Grade",10,12)))))</f>
        <v>217</v>
      </c>
    </row>
    <row r="35" spans="1:16" ht="17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/>
      <c r="G35" s="124"/>
      <c r="H35" s="85"/>
      <c r="I35" s="55">
        <f>VLOOKUP(C35,'Points Table'!A$3:L$43,IF(A35="A Grade / Juniors",4,IF(A35="B Grade",6,IF(A35="C Grade",8,IF(A35="D Grade",10,12)))))</f>
        <v>210</v>
      </c>
    </row>
    <row r="36" spans="1:16" ht="19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/>
      <c r="G36" s="124"/>
      <c r="H36" s="85"/>
      <c r="I36" s="55">
        <f>VLOOKUP(C36,'Points Table'!A$3:L$43,IF(A36="A Grade / Juniors",4,IF(A36="B Grade",6,IF(A36="C Grade",8,IF(A36="D Grade",10,12)))))</f>
        <v>203</v>
      </c>
      <c r="P36" s="95"/>
    </row>
    <row r="37" spans="1:16" ht="19" x14ac:dyDescent="0.2">
      <c r="A37" s="65" t="s">
        <v>21</v>
      </c>
      <c r="B37" s="65" t="s">
        <v>36</v>
      </c>
      <c r="C37" s="62">
        <v>16</v>
      </c>
      <c r="D37" s="66" t="s">
        <v>76</v>
      </c>
      <c r="E37" s="62" t="s">
        <v>61</v>
      </c>
      <c r="F37" s="112"/>
      <c r="G37" s="124"/>
      <c r="H37" s="85"/>
      <c r="I37" s="55">
        <f>VLOOKUP(C37,'Points Table'!A$3:L$43,IF(A37="A Grade / Juniors",4,IF(A37="B Grade",6,IF(A37="C Grade",8,IF(A37="D Grade",10,12)))))</f>
        <v>196</v>
      </c>
      <c r="P37" s="95"/>
    </row>
    <row r="38" spans="1:16" ht="19" x14ac:dyDescent="0.2">
      <c r="A38" s="65" t="s">
        <v>21</v>
      </c>
      <c r="B38" s="65" t="s">
        <v>36</v>
      </c>
      <c r="C38" s="62">
        <v>17</v>
      </c>
      <c r="D38" s="66" t="s">
        <v>79</v>
      </c>
      <c r="E38" s="62" t="s">
        <v>61</v>
      </c>
      <c r="F38" s="112"/>
      <c r="G38" s="124"/>
      <c r="H38" s="85"/>
      <c r="I38" s="55">
        <f>VLOOKUP(C38,'Points Table'!A$3:L$43,IF(A38="A Grade / Juniors",4,IF(A38="B Grade",6,IF(A38="C Grade",8,IF(A38="D Grade",10,12)))))</f>
        <v>189</v>
      </c>
      <c r="P38" s="95"/>
    </row>
    <row r="39" spans="1:16" ht="19" x14ac:dyDescent="0.2">
      <c r="A39" s="65" t="s">
        <v>23</v>
      </c>
      <c r="B39" s="65" t="s">
        <v>37</v>
      </c>
      <c r="C39" s="62">
        <v>1</v>
      </c>
      <c r="D39" s="66" t="s">
        <v>60</v>
      </c>
      <c r="E39" s="62" t="s">
        <v>61</v>
      </c>
      <c r="F39" s="112"/>
      <c r="G39" s="124"/>
      <c r="H39" s="85"/>
      <c r="I39" s="55">
        <f>VLOOKUP(C39,'Points Table'!A$3:L$43,IF(A39="A Grade / Juniors",4,IF(A39="B Grade",6,IF(A39="C Grade",8,IF(A39="D Grade",10,12)))))</f>
        <v>300</v>
      </c>
      <c r="P39" s="95"/>
    </row>
    <row r="40" spans="1:16" ht="19" x14ac:dyDescent="0.2">
      <c r="A40" s="65" t="s">
        <v>23</v>
      </c>
      <c r="B40" s="65" t="s">
        <v>37</v>
      </c>
      <c r="C40" s="62">
        <v>2</v>
      </c>
      <c r="D40" s="66" t="s">
        <v>62</v>
      </c>
      <c r="E40" s="62" t="s">
        <v>61</v>
      </c>
      <c r="F40" s="112"/>
      <c r="G40" s="124"/>
      <c r="H40" s="85"/>
      <c r="I40" s="55">
        <f>VLOOKUP(C40,'Points Table'!A$3:L$43,IF(A40="A Grade / Juniors",4,IF(A40="B Grade",6,IF(A40="C Grade",8,IF(A40="D Grade",10,12)))))</f>
        <v>270</v>
      </c>
      <c r="P40" s="95"/>
    </row>
    <row r="41" spans="1:16" ht="19" x14ac:dyDescent="0.2">
      <c r="A41" s="65" t="s">
        <v>23</v>
      </c>
      <c r="B41" s="65" t="s">
        <v>37</v>
      </c>
      <c r="C41" s="62">
        <v>3</v>
      </c>
      <c r="D41" s="66" t="s">
        <v>63</v>
      </c>
      <c r="E41" s="62" t="s">
        <v>61</v>
      </c>
      <c r="F41" s="112"/>
      <c r="G41" s="124"/>
      <c r="H41" s="85"/>
      <c r="I41" s="55">
        <f>VLOOKUP(C41,'Points Table'!A$3:L$43,IF(A41="A Grade / Juniors",4,IF(A41="B Grade",6,IF(A41="C Grade",8,IF(A41="D Grade",10,12)))))</f>
        <v>252</v>
      </c>
      <c r="P41" s="95"/>
    </row>
    <row r="42" spans="1:16" ht="17" x14ac:dyDescent="0.2">
      <c r="A42" s="65" t="s">
        <v>23</v>
      </c>
      <c r="B42" s="65" t="s">
        <v>37</v>
      </c>
      <c r="C42" s="62">
        <v>4</v>
      </c>
      <c r="D42" s="66" t="s">
        <v>64</v>
      </c>
      <c r="E42" s="62" t="s">
        <v>61</v>
      </c>
      <c r="F42" s="112"/>
      <c r="G42" s="124"/>
      <c r="H42" s="85"/>
      <c r="I42" s="55">
        <f>VLOOKUP(C42,'Points Table'!A$3:L$43,IF(A42="A Grade / Juniors",4,IF(A42="B Grade",6,IF(A42="C Grade",8,IF(A42="D Grade",10,12)))))</f>
        <v>240</v>
      </c>
      <c r="P42" s="136"/>
    </row>
    <row r="43" spans="1:16" ht="17" x14ac:dyDescent="0.2">
      <c r="A43" s="65" t="s">
        <v>23</v>
      </c>
      <c r="B43" s="65" t="s">
        <v>37</v>
      </c>
      <c r="C43" s="62">
        <v>5</v>
      </c>
      <c r="D43" s="66" t="s">
        <v>65</v>
      </c>
      <c r="E43" s="62" t="s">
        <v>61</v>
      </c>
      <c r="F43" s="112"/>
      <c r="G43" s="124"/>
      <c r="H43" s="85"/>
      <c r="I43" s="55">
        <f>VLOOKUP(C43,'Points Table'!A$3:L$43,IF(A43="A Grade / Juniors",4,IF(A43="B Grade",6,IF(A43="C Grade",8,IF(A43="D Grade",10,12)))))</f>
        <v>234</v>
      </c>
    </row>
    <row r="44" spans="1:16" ht="17" customHeight="1" x14ac:dyDescent="0.2">
      <c r="A44" s="65" t="s">
        <v>23</v>
      </c>
      <c r="B44" s="65" t="s">
        <v>37</v>
      </c>
      <c r="C44" s="62">
        <v>6</v>
      </c>
      <c r="D44" s="66" t="s">
        <v>66</v>
      </c>
      <c r="E44" s="62" t="s">
        <v>61</v>
      </c>
      <c r="F44" s="112"/>
      <c r="G44" s="124"/>
      <c r="H44" s="85"/>
      <c r="I44" s="55">
        <f>VLOOKUP(C44,'Points Table'!A$3:L$43,IF(A44="A Grade / Juniors",4,IF(A44="B Grade",6,IF(A44="C Grade",8,IF(A44="D Grade",10,12)))))</f>
        <v>228</v>
      </c>
      <c r="J44" s="64"/>
    </row>
    <row r="45" spans="1:16" ht="17" customHeight="1" x14ac:dyDescent="0.2">
      <c r="A45" s="65" t="s">
        <v>23</v>
      </c>
      <c r="B45" s="65" t="s">
        <v>37</v>
      </c>
      <c r="C45" s="62">
        <v>7</v>
      </c>
      <c r="D45" s="66" t="s">
        <v>67</v>
      </c>
      <c r="E45" s="62" t="s">
        <v>61</v>
      </c>
      <c r="F45" s="112"/>
      <c r="G45" s="124"/>
      <c r="H45" s="85"/>
      <c r="I45" s="55">
        <f>VLOOKUP(C45,'Points Table'!A$3:L$43,IF(A45="A Grade / Juniors",4,IF(A45="B Grade",6,IF(A45="C Grade",8,IF(A45="D Grade",10,12)))))</f>
        <v>222</v>
      </c>
      <c r="P45" s="136"/>
    </row>
    <row r="46" spans="1:16" ht="17" customHeight="1" x14ac:dyDescent="0.2">
      <c r="A46" s="65" t="s">
        <v>59</v>
      </c>
      <c r="B46" s="65" t="s">
        <v>38</v>
      </c>
      <c r="C46" s="62">
        <v>1</v>
      </c>
      <c r="D46" s="66" t="s">
        <v>60</v>
      </c>
      <c r="E46" s="62" t="s">
        <v>61</v>
      </c>
      <c r="F46" s="112"/>
      <c r="G46" s="124"/>
      <c r="H46" s="85"/>
      <c r="I46" s="55">
        <f>VLOOKUP(C46,'Points Table'!A$3:L$43,IF(A46="A Grade / Juniors",4,IF(A46="B Grade",6,IF(A46="C Grade",8,IF(A46="D Grade",10,12)))))</f>
        <v>500</v>
      </c>
      <c r="O46" s="136"/>
      <c r="P46" s="136"/>
    </row>
    <row r="47" spans="1:16" ht="17" customHeight="1" x14ac:dyDescent="0.2">
      <c r="A47" s="65" t="s">
        <v>59</v>
      </c>
      <c r="B47" s="65" t="s">
        <v>38</v>
      </c>
      <c r="C47" s="62">
        <v>2</v>
      </c>
      <c r="D47" s="66" t="s">
        <v>62</v>
      </c>
      <c r="E47" s="62" t="s">
        <v>61</v>
      </c>
      <c r="F47" s="112"/>
      <c r="G47" s="124"/>
      <c r="H47" s="85"/>
      <c r="I47" s="55">
        <f>VLOOKUP(C47,'Points Table'!A$3:L$43,IF(A47="A Grade / Juniors",4,IF(A47="B Grade",6,IF(A47="C Grade",8,IF(A47="D Grade",10,12)))))</f>
        <v>450</v>
      </c>
      <c r="O47" s="136"/>
    </row>
    <row r="48" spans="1:16" ht="17" customHeight="1" x14ac:dyDescent="0.2">
      <c r="A48" s="65" t="s">
        <v>59</v>
      </c>
      <c r="B48" s="65" t="s">
        <v>38</v>
      </c>
      <c r="C48" s="62">
        <v>3</v>
      </c>
      <c r="D48" s="66" t="s">
        <v>63</v>
      </c>
      <c r="E48" s="62" t="s">
        <v>61</v>
      </c>
      <c r="F48" s="112"/>
      <c r="G48" s="124"/>
      <c r="H48" s="85"/>
      <c r="I48" s="55">
        <f>VLOOKUP(C48,'Points Table'!A$3:L$43,IF(A48="A Grade / Juniors",4,IF(A48="B Grade",6,IF(A48="C Grade",8,IF(A48="D Grade",10,12)))))</f>
        <v>420</v>
      </c>
      <c r="O48" s="136"/>
    </row>
    <row r="49" spans="1:21" ht="17" customHeight="1" x14ac:dyDescent="0.2">
      <c r="A49" s="65" t="s">
        <v>19</v>
      </c>
      <c r="B49" s="65" t="s">
        <v>39</v>
      </c>
      <c r="C49" s="62">
        <v>1</v>
      </c>
      <c r="D49" s="66" t="s">
        <v>60</v>
      </c>
      <c r="E49" s="62" t="s">
        <v>61</v>
      </c>
      <c r="F49" s="112"/>
      <c r="G49" s="124"/>
      <c r="H49" s="85"/>
      <c r="I49" s="55">
        <f>VLOOKUP(C49,'Points Table'!A$3:L$43,IF(A49="A Grade / Juniors",4,IF(A49="B Grade",6,IF(A49="C Grade",8,IF(A49="D Grade",10,12)))))</f>
        <v>375</v>
      </c>
      <c r="O49" s="136"/>
    </row>
    <row r="50" spans="1:21" ht="17" x14ac:dyDescent="0.2">
      <c r="A50" s="65" t="s">
        <v>21</v>
      </c>
      <c r="B50" s="65" t="s">
        <v>40</v>
      </c>
      <c r="C50" s="62">
        <v>1</v>
      </c>
      <c r="D50" s="66" t="s">
        <v>60</v>
      </c>
      <c r="E50" s="62" t="s">
        <v>61</v>
      </c>
      <c r="F50" s="112"/>
      <c r="G50" s="124"/>
      <c r="H50" s="85"/>
      <c r="I50" s="55">
        <f>VLOOKUP(C50,'Points Table'!A$3:L$43,IF(A50="A Grade / Juniors",4,IF(A50="B Grade",6,IF(A50="C Grade",8,IF(A50="D Grade",10,12)))))</f>
        <v>350</v>
      </c>
      <c r="O50" s="137"/>
    </row>
    <row r="51" spans="1:21" ht="17" x14ac:dyDescent="0.2">
      <c r="A51" s="65" t="s">
        <v>21</v>
      </c>
      <c r="B51" s="65" t="s">
        <v>40</v>
      </c>
      <c r="C51" s="62">
        <v>2</v>
      </c>
      <c r="D51" s="66" t="s">
        <v>62</v>
      </c>
      <c r="E51" s="62" t="s">
        <v>61</v>
      </c>
      <c r="F51" s="112"/>
      <c r="G51" s="124"/>
      <c r="H51" s="85"/>
      <c r="I51" s="55">
        <f>VLOOKUP(C51,'Points Table'!A$3:L$43,IF(A51="A Grade / Juniors",4,IF(A51="B Grade",6,IF(A51="C Grade",8,IF(A51="D Grade",10,12)))))</f>
        <v>315</v>
      </c>
    </row>
    <row r="52" spans="1:21" ht="17" x14ac:dyDescent="0.2">
      <c r="A52" s="65" t="s">
        <v>21</v>
      </c>
      <c r="B52" s="65" t="s">
        <v>40</v>
      </c>
      <c r="C52" s="62">
        <v>3</v>
      </c>
      <c r="D52" s="66" t="s">
        <v>63</v>
      </c>
      <c r="E52" s="62" t="s">
        <v>61</v>
      </c>
      <c r="F52" s="112"/>
      <c r="G52" s="124"/>
      <c r="H52" s="85"/>
      <c r="I52" s="55">
        <f>VLOOKUP(C52,'Points Table'!A$3:L$43,IF(A52="A Grade / Juniors",4,IF(A52="B Grade",6,IF(A52="C Grade",8,IF(A52="D Grade",10,12)))))</f>
        <v>294</v>
      </c>
    </row>
    <row r="53" spans="1:21" ht="17" x14ac:dyDescent="0.2">
      <c r="A53" s="65" t="s">
        <v>21</v>
      </c>
      <c r="B53" s="65" t="s">
        <v>40</v>
      </c>
      <c r="C53" s="62">
        <v>4</v>
      </c>
      <c r="D53" s="66" t="s">
        <v>64</v>
      </c>
      <c r="E53" s="62" t="s">
        <v>61</v>
      </c>
      <c r="F53" s="112"/>
      <c r="G53" s="124"/>
      <c r="H53" s="85"/>
      <c r="I53" s="55">
        <f>VLOOKUP(C53,'Points Table'!A$3:L$43,IF(A53="A Grade / Juniors",4,IF(A53="B Grade",6,IF(A53="C Grade",8,IF(A53="D Grade",10,12)))))</f>
        <v>280</v>
      </c>
      <c r="P53" s="136"/>
      <c r="Q53" s="139"/>
      <c r="U53" s="138"/>
    </row>
    <row r="54" spans="1:21" ht="17" x14ac:dyDescent="0.2">
      <c r="A54" s="65" t="s">
        <v>21</v>
      </c>
      <c r="B54" s="65" t="s">
        <v>40</v>
      </c>
      <c r="C54" s="62">
        <v>5</v>
      </c>
      <c r="D54" s="66" t="s">
        <v>65</v>
      </c>
      <c r="E54" s="62" t="s">
        <v>61</v>
      </c>
      <c r="F54" s="112"/>
      <c r="G54" s="124"/>
      <c r="H54" s="85"/>
      <c r="I54" s="55">
        <f>VLOOKUP(C54,'Points Table'!A$3:L$43,IF(A54="A Grade / Juniors",4,IF(A54="B Grade",6,IF(A54="C Grade",8,IF(A54="D Grade",10,12)))))</f>
        <v>273</v>
      </c>
      <c r="N54" s="136"/>
      <c r="U54" s="138"/>
    </row>
    <row r="55" spans="1:21" ht="17" customHeight="1" x14ac:dyDescent="0.2">
      <c r="A55" s="65" t="s">
        <v>41</v>
      </c>
      <c r="B55" s="65" t="s">
        <v>117</v>
      </c>
      <c r="C55" s="62">
        <v>1</v>
      </c>
      <c r="D55" s="66" t="s">
        <v>60</v>
      </c>
      <c r="E55" s="62" t="s">
        <v>61</v>
      </c>
      <c r="F55" s="112"/>
      <c r="G55" s="124"/>
      <c r="H55" s="85"/>
      <c r="I55" s="55">
        <f>VLOOKUP(C55,'Points Table'!A$3:L$43,IF(A55="A Grade / Juniors",4,IF(A55="B Grade",6,IF(A55="C Grade",8,IF(A55="D Grade",10,12)))))</f>
        <v>500</v>
      </c>
      <c r="N55" s="136"/>
      <c r="U55" s="138"/>
    </row>
    <row r="56" spans="1:21" ht="17" customHeight="1" x14ac:dyDescent="0.2">
      <c r="A56" s="65" t="s">
        <v>41</v>
      </c>
      <c r="B56" s="65" t="s">
        <v>117</v>
      </c>
      <c r="C56" s="62">
        <v>2</v>
      </c>
      <c r="D56" s="66" t="s">
        <v>62</v>
      </c>
      <c r="E56" s="62" t="s">
        <v>61</v>
      </c>
      <c r="F56" s="112"/>
      <c r="G56" s="124"/>
      <c r="H56" s="85"/>
      <c r="I56" s="55">
        <f>VLOOKUP(C56,'Points Table'!A$3:L$43,IF(A56="A Grade / Juniors",4,IF(A56="B Grade",6,IF(A56="C Grade",8,IF(A56="D Grade",10,12)))))</f>
        <v>450</v>
      </c>
      <c r="N56" s="136"/>
      <c r="U56" s="138"/>
    </row>
    <row r="57" spans="1:21" ht="17" customHeight="1" x14ac:dyDescent="0.2">
      <c r="A57" s="65" t="s">
        <v>41</v>
      </c>
      <c r="B57" s="65" t="s">
        <v>46</v>
      </c>
      <c r="C57" s="62">
        <v>1</v>
      </c>
      <c r="D57" s="66" t="s">
        <v>60</v>
      </c>
      <c r="E57" s="62" t="s">
        <v>61</v>
      </c>
      <c r="F57" s="112"/>
      <c r="G57" s="124"/>
      <c r="H57" s="85"/>
      <c r="I57" s="55">
        <f>VLOOKUP(C57,'Points Table'!A$3:L$43,IF(A57="A Grade / Juniors",4,IF(A57="B Grade",6,IF(A57="C Grade",8,IF(A57="D Grade",10,12)))))</f>
        <v>500</v>
      </c>
    </row>
    <row r="58" spans="1:21" ht="17" customHeight="1" x14ac:dyDescent="0.2">
      <c r="A58" s="65" t="s">
        <v>41</v>
      </c>
      <c r="B58" s="65" t="s">
        <v>46</v>
      </c>
      <c r="C58" s="62">
        <v>2</v>
      </c>
      <c r="D58" s="66" t="s">
        <v>62</v>
      </c>
      <c r="E58" s="62" t="s">
        <v>61</v>
      </c>
      <c r="F58" s="112"/>
      <c r="G58" s="124"/>
      <c r="H58" s="85"/>
      <c r="I58" s="55">
        <f>VLOOKUP(C58,'Points Table'!A$3:L$43,IF(A58="A Grade / Juniors",4,IF(A58="B Grade",6,IF(A58="C Grade",8,IF(A58="D Grade",10,12)))))</f>
        <v>450</v>
      </c>
    </row>
    <row r="59" spans="1:21" ht="17" customHeight="1" x14ac:dyDescent="0.2">
      <c r="A59" s="65" t="s">
        <v>41</v>
      </c>
      <c r="B59" s="65" t="s">
        <v>46</v>
      </c>
      <c r="C59" s="62">
        <v>3</v>
      </c>
      <c r="D59" s="66" t="s">
        <v>63</v>
      </c>
      <c r="E59" s="62" t="s">
        <v>61</v>
      </c>
      <c r="F59" s="112"/>
      <c r="G59" s="124"/>
      <c r="H59" s="85"/>
      <c r="I59" s="55">
        <f>VLOOKUP(C59,'Points Table'!A$3:L$43,IF(A59="A Grade / Juniors",4,IF(A59="B Grade",6,IF(A59="C Grade",8,IF(A59="D Grade",10,12)))))</f>
        <v>420</v>
      </c>
    </row>
    <row r="60" spans="1:21" ht="17" customHeight="1" x14ac:dyDescent="0.2">
      <c r="A60" s="65" t="s">
        <v>41</v>
      </c>
      <c r="B60" s="65" t="s">
        <v>46</v>
      </c>
      <c r="C60" s="62">
        <v>4</v>
      </c>
      <c r="D60" s="66" t="s">
        <v>64</v>
      </c>
      <c r="E60" s="62" t="s">
        <v>61</v>
      </c>
      <c r="F60" s="112"/>
      <c r="G60" s="124"/>
      <c r="H60" s="85"/>
      <c r="I60" s="55">
        <f>VLOOKUP(C60,'Points Table'!A$3:L$43,IF(A60="A Grade / Juniors",4,IF(A60="B Grade",6,IF(A60="C Grade",8,IF(A60="D Grade",10,12)))))</f>
        <v>400</v>
      </c>
    </row>
    <row r="61" spans="1:21" ht="17" customHeight="1" x14ac:dyDescent="0.2">
      <c r="A61" s="65" t="s">
        <v>41</v>
      </c>
      <c r="B61" s="65" t="s">
        <v>47</v>
      </c>
      <c r="C61" s="62">
        <v>1</v>
      </c>
      <c r="D61" s="66" t="s">
        <v>60</v>
      </c>
      <c r="E61" s="62" t="s">
        <v>61</v>
      </c>
      <c r="F61" s="112"/>
      <c r="G61" s="124"/>
      <c r="H61" s="85"/>
      <c r="I61" s="55">
        <f>VLOOKUP(C61,'Points Table'!A$3:L$43,IF(A61="A Grade / Juniors",4,IF(A61="B Grade",6,IF(A61="C Grade",8,IF(A61="D Grade",10,12)))))</f>
        <v>500</v>
      </c>
    </row>
    <row r="62" spans="1:21" ht="17" customHeight="1" x14ac:dyDescent="0.2">
      <c r="A62" s="65" t="s">
        <v>41</v>
      </c>
      <c r="B62" s="65" t="s">
        <v>47</v>
      </c>
      <c r="C62" s="62">
        <v>2</v>
      </c>
      <c r="D62" s="66" t="s">
        <v>62</v>
      </c>
      <c r="E62" s="62" t="s">
        <v>61</v>
      </c>
      <c r="F62" s="112"/>
      <c r="G62" s="124"/>
      <c r="H62" s="85"/>
      <c r="I62" s="55">
        <f>VLOOKUP(C62,'Points Table'!A$3:L$43,IF(A62="A Grade / Juniors",4,IF(A62="B Grade",6,IF(A62="C Grade",8,IF(A62="D Grade",10,12)))))</f>
        <v>450</v>
      </c>
    </row>
    <row r="63" spans="1:21" ht="17" customHeight="1" x14ac:dyDescent="0.2">
      <c r="A63" s="65" t="s">
        <v>41</v>
      </c>
      <c r="B63" s="65" t="s">
        <v>47</v>
      </c>
      <c r="C63" s="62">
        <v>3</v>
      </c>
      <c r="D63" s="66" t="s">
        <v>63</v>
      </c>
      <c r="E63" s="62" t="s">
        <v>61</v>
      </c>
      <c r="F63" s="112"/>
      <c r="G63" s="124"/>
      <c r="H63" s="85"/>
      <c r="I63" s="55">
        <f>VLOOKUP(C63,'Points Table'!A$3:L$43,IF(A63="A Grade / Juniors",4,IF(A63="B Grade",6,IF(A63="C Grade",8,IF(A63="D Grade",10,12)))))</f>
        <v>420</v>
      </c>
    </row>
    <row r="64" spans="1:21" ht="17" customHeight="1" x14ac:dyDescent="0.2">
      <c r="A64" s="65" t="s">
        <v>41</v>
      </c>
      <c r="B64" s="65" t="s">
        <v>47</v>
      </c>
      <c r="C64" s="62">
        <v>4</v>
      </c>
      <c r="D64" s="66" t="s">
        <v>64</v>
      </c>
      <c r="E64" s="62" t="s">
        <v>61</v>
      </c>
      <c r="F64" s="112"/>
      <c r="G64" s="124"/>
      <c r="H64" s="85"/>
      <c r="I64" s="55">
        <f>VLOOKUP(C64,'Points Table'!A$3:L$43,IF(A64="A Grade / Juniors",4,IF(A64="B Grade",6,IF(A64="C Grade",8,IF(A64="D Grade",10,12)))))</f>
        <v>400</v>
      </c>
    </row>
    <row r="65" spans="1:9" ht="17" customHeight="1" x14ac:dyDescent="0.2">
      <c r="A65" s="65" t="s">
        <v>41</v>
      </c>
      <c r="B65" s="65" t="s">
        <v>48</v>
      </c>
      <c r="C65" s="62">
        <v>1</v>
      </c>
      <c r="D65" s="66" t="s">
        <v>60</v>
      </c>
      <c r="E65" s="62" t="s">
        <v>61</v>
      </c>
      <c r="F65" s="112"/>
      <c r="G65" s="124"/>
      <c r="H65" s="85"/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5" t="s">
        <v>41</v>
      </c>
      <c r="B66" s="65" t="s">
        <v>48</v>
      </c>
      <c r="C66" s="62">
        <v>2</v>
      </c>
      <c r="D66" s="66" t="s">
        <v>62</v>
      </c>
      <c r="E66" s="62" t="s">
        <v>61</v>
      </c>
      <c r="F66" s="112"/>
      <c r="G66" s="124"/>
      <c r="H66" s="85"/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5" t="s">
        <v>41</v>
      </c>
      <c r="B67" s="65" t="s">
        <v>48</v>
      </c>
      <c r="C67" s="62">
        <v>3</v>
      </c>
      <c r="D67" s="66" t="s">
        <v>63</v>
      </c>
      <c r="E67" s="62" t="s">
        <v>61</v>
      </c>
      <c r="F67" s="112"/>
      <c r="G67" s="124"/>
      <c r="H67" s="85"/>
      <c r="I67" s="55">
        <f>VLOOKUP(C67,'Points Table'!A$3:L$43,IF(A67="A Grade / Juniors",4,IF(A67="B Grade",6,IF(A67="C Grade",8,IF(A67="D Grade",10,12)))))</f>
        <v>420</v>
      </c>
    </row>
  </sheetData>
  <phoneticPr fontId="1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9" x14ac:dyDescent="0.2">
      <c r="A14" s="65" t="s">
        <v>59</v>
      </c>
      <c r="B14" s="65" t="s">
        <v>34</v>
      </c>
      <c r="C14" s="65">
        <v>13</v>
      </c>
      <c r="D14" s="66" t="s">
        <v>73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310</v>
      </c>
      <c r="M14" s="81"/>
    </row>
    <row r="15" spans="1:13" ht="19" x14ac:dyDescent="0.2">
      <c r="A15" s="65" t="s">
        <v>19</v>
      </c>
      <c r="B15" s="65" t="s">
        <v>35</v>
      </c>
      <c r="C15" s="65">
        <v>1</v>
      </c>
      <c r="D15" s="66" t="s">
        <v>60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375</v>
      </c>
      <c r="M15" s="81"/>
    </row>
    <row r="16" spans="1:13" ht="19" x14ac:dyDescent="0.2">
      <c r="A16" s="65" t="s">
        <v>19</v>
      </c>
      <c r="B16" s="65" t="s">
        <v>35</v>
      </c>
      <c r="C16" s="65">
        <v>2</v>
      </c>
      <c r="D16" s="66" t="s">
        <v>62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337.5</v>
      </c>
      <c r="M16" s="81"/>
    </row>
    <row r="17" spans="1:13" ht="19" x14ac:dyDescent="0.2">
      <c r="A17" s="65" t="s">
        <v>19</v>
      </c>
      <c r="B17" s="65" t="s">
        <v>35</v>
      </c>
      <c r="C17" s="65">
        <v>3</v>
      </c>
      <c r="D17" s="66" t="s">
        <v>63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315</v>
      </c>
      <c r="M17" s="81"/>
    </row>
    <row r="18" spans="1:13" ht="19" x14ac:dyDescent="0.2">
      <c r="A18" s="65" t="s">
        <v>19</v>
      </c>
      <c r="B18" s="65" t="s">
        <v>35</v>
      </c>
      <c r="C18" s="65">
        <v>4</v>
      </c>
      <c r="D18" s="66" t="s">
        <v>64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300</v>
      </c>
      <c r="M18" s="81"/>
    </row>
    <row r="19" spans="1:13" ht="17" x14ac:dyDescent="0.2">
      <c r="A19" s="65" t="s">
        <v>19</v>
      </c>
      <c r="B19" s="65" t="s">
        <v>35</v>
      </c>
      <c r="C19" s="65">
        <v>5</v>
      </c>
      <c r="D19" s="66" t="s">
        <v>65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5" t="s">
        <v>19</v>
      </c>
      <c r="B20" s="65" t="s">
        <v>35</v>
      </c>
      <c r="C20" s="65">
        <v>6</v>
      </c>
      <c r="D20" s="66" t="s">
        <v>66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5" t="s">
        <v>19</v>
      </c>
      <c r="B21" s="65" t="s">
        <v>35</v>
      </c>
      <c r="C21" s="65">
        <v>7</v>
      </c>
      <c r="D21" s="66" t="s">
        <v>67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277.5</v>
      </c>
      <c r="M21" s="81"/>
    </row>
    <row r="22" spans="1:13" ht="19" x14ac:dyDescent="0.2">
      <c r="A22" s="65" t="s">
        <v>19</v>
      </c>
      <c r="B22" s="65" t="s">
        <v>35</v>
      </c>
      <c r="C22" s="65">
        <v>8</v>
      </c>
      <c r="D22" s="66" t="s">
        <v>68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270</v>
      </c>
      <c r="M22" s="81"/>
    </row>
    <row r="23" spans="1:13" ht="19" x14ac:dyDescent="0.2">
      <c r="A23" s="65" t="s">
        <v>19</v>
      </c>
      <c r="B23" s="65" t="s">
        <v>35</v>
      </c>
      <c r="C23" s="65">
        <v>9</v>
      </c>
      <c r="D23" s="66" t="s">
        <v>69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262.5</v>
      </c>
      <c r="M23" s="81"/>
    </row>
    <row r="24" spans="1:13" ht="19" x14ac:dyDescent="0.2">
      <c r="A24" s="65" t="s">
        <v>21</v>
      </c>
      <c r="B24" s="65" t="s">
        <v>36</v>
      </c>
      <c r="C24" s="65">
        <v>1</v>
      </c>
      <c r="D24" s="66" t="s">
        <v>60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350</v>
      </c>
      <c r="M24" s="81"/>
    </row>
    <row r="25" spans="1:13" ht="19" x14ac:dyDescent="0.2">
      <c r="A25" s="65" t="s">
        <v>21</v>
      </c>
      <c r="B25" s="65" t="s">
        <v>36</v>
      </c>
      <c r="C25" s="65">
        <v>2</v>
      </c>
      <c r="D25" s="66" t="s">
        <v>62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315</v>
      </c>
      <c r="M25" s="81"/>
    </row>
    <row r="26" spans="1:13" ht="19" x14ac:dyDescent="0.2">
      <c r="A26" s="65" t="s">
        <v>21</v>
      </c>
      <c r="B26" s="65" t="s">
        <v>36</v>
      </c>
      <c r="C26" s="65">
        <v>3</v>
      </c>
      <c r="D26" s="66" t="s">
        <v>63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294</v>
      </c>
      <c r="M26" s="81"/>
    </row>
    <row r="27" spans="1:13" ht="17" x14ac:dyDescent="0.2">
      <c r="A27" s="65" t="s">
        <v>21</v>
      </c>
      <c r="B27" s="65" t="s">
        <v>36</v>
      </c>
      <c r="C27" s="65">
        <v>4</v>
      </c>
      <c r="D27" s="66" t="s">
        <v>64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5" t="s">
        <v>21</v>
      </c>
      <c r="B28" s="65" t="s">
        <v>36</v>
      </c>
      <c r="C28" s="65">
        <v>5</v>
      </c>
      <c r="D28" s="66" t="s">
        <v>65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5" t="s">
        <v>21</v>
      </c>
      <c r="B29" s="65" t="s">
        <v>36</v>
      </c>
      <c r="C29" s="65">
        <v>6</v>
      </c>
      <c r="D29" s="66" t="s">
        <v>66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266</v>
      </c>
      <c r="J29" s="81"/>
      <c r="K29" s="81"/>
      <c r="L29" s="82"/>
      <c r="M29" s="81"/>
    </row>
    <row r="30" spans="1:13" ht="19" x14ac:dyDescent="0.2">
      <c r="A30" s="65" t="s">
        <v>21</v>
      </c>
      <c r="B30" s="65" t="s">
        <v>36</v>
      </c>
      <c r="C30" s="65">
        <v>7</v>
      </c>
      <c r="D30" s="66" t="s">
        <v>67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259</v>
      </c>
      <c r="J30" s="81"/>
      <c r="K30" s="81"/>
      <c r="L30" s="82"/>
      <c r="M30" s="81"/>
    </row>
    <row r="31" spans="1:13" ht="19" x14ac:dyDescent="0.2">
      <c r="A31" s="65" t="s">
        <v>21</v>
      </c>
      <c r="B31" s="65" t="s">
        <v>36</v>
      </c>
      <c r="C31" s="65">
        <v>8</v>
      </c>
      <c r="D31" s="66" t="s">
        <v>68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251.99999999999997</v>
      </c>
      <c r="J31" s="81"/>
      <c r="K31" s="81"/>
      <c r="L31" s="82"/>
      <c r="M31" s="81"/>
    </row>
    <row r="32" spans="1:13" ht="19" x14ac:dyDescent="0.2">
      <c r="A32" s="65" t="s">
        <v>21</v>
      </c>
      <c r="B32" s="65" t="s">
        <v>36</v>
      </c>
      <c r="C32" s="65">
        <v>9</v>
      </c>
      <c r="D32" s="66" t="s">
        <v>69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244.99999999999997</v>
      </c>
      <c r="J32" s="81"/>
      <c r="K32" s="81"/>
      <c r="L32" s="82"/>
      <c r="M32" s="81"/>
    </row>
    <row r="33" spans="1:13" ht="19" x14ac:dyDescent="0.2">
      <c r="A33" s="65" t="s">
        <v>21</v>
      </c>
      <c r="B33" s="65" t="s">
        <v>36</v>
      </c>
      <c r="C33" s="65">
        <v>10</v>
      </c>
      <c r="D33" s="66" t="s">
        <v>70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237.99999999999997</v>
      </c>
      <c r="J33" s="81"/>
      <c r="K33" s="81"/>
      <c r="L33" s="82"/>
      <c r="M33" s="81"/>
    </row>
    <row r="34" spans="1:13" ht="19" x14ac:dyDescent="0.2">
      <c r="A34" s="65" t="s">
        <v>21</v>
      </c>
      <c r="B34" s="65" t="s">
        <v>36</v>
      </c>
      <c r="C34" s="65">
        <v>11</v>
      </c>
      <c r="D34" s="66" t="s">
        <v>71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230.99999999999997</v>
      </c>
      <c r="J34" s="81"/>
      <c r="K34" s="81"/>
      <c r="L34" s="82"/>
      <c r="M34" s="81"/>
    </row>
    <row r="35" spans="1:13" ht="19" x14ac:dyDescent="0.2">
      <c r="A35" s="65" t="s">
        <v>21</v>
      </c>
      <c r="B35" s="65" t="s">
        <v>36</v>
      </c>
      <c r="C35" s="65">
        <v>12</v>
      </c>
      <c r="D35" s="66" t="s">
        <v>72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224</v>
      </c>
      <c r="J35" s="81"/>
      <c r="K35" s="81"/>
      <c r="L35" s="82"/>
      <c r="M35" s="81"/>
    </row>
    <row r="36" spans="1:13" ht="19" x14ac:dyDescent="0.2">
      <c r="A36" s="65" t="s">
        <v>21</v>
      </c>
      <c r="B36" s="65" t="s">
        <v>36</v>
      </c>
      <c r="C36" s="65">
        <v>13</v>
      </c>
      <c r="D36" s="66" t="s">
        <v>73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217</v>
      </c>
      <c r="J36" s="81"/>
      <c r="K36" s="81"/>
      <c r="L36" s="82"/>
      <c r="M36" s="81"/>
    </row>
    <row r="37" spans="1:13" ht="19" x14ac:dyDescent="0.2">
      <c r="A37" s="65" t="s">
        <v>21</v>
      </c>
      <c r="B37" s="65" t="s">
        <v>36</v>
      </c>
      <c r="C37" s="65">
        <v>14</v>
      </c>
      <c r="D37" s="66" t="s">
        <v>74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210</v>
      </c>
      <c r="J37" s="81"/>
      <c r="K37" s="81"/>
      <c r="L37" s="82"/>
      <c r="M37" s="81"/>
    </row>
    <row r="38" spans="1:13" ht="19" x14ac:dyDescent="0.2">
      <c r="A38" s="65" t="s">
        <v>21</v>
      </c>
      <c r="B38" s="65" t="s">
        <v>36</v>
      </c>
      <c r="C38" s="65">
        <v>15</v>
      </c>
      <c r="D38" s="66" t="s">
        <v>75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203</v>
      </c>
      <c r="J38" s="81"/>
      <c r="K38" s="81"/>
      <c r="L38" s="81"/>
      <c r="M38" s="81"/>
    </row>
    <row r="39" spans="1:13" ht="19" x14ac:dyDescent="0.2">
      <c r="A39" s="65" t="s">
        <v>21</v>
      </c>
      <c r="B39" s="65" t="s">
        <v>36</v>
      </c>
      <c r="C39" s="65">
        <v>16</v>
      </c>
      <c r="D39" s="66" t="s">
        <v>76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196</v>
      </c>
      <c r="J39" s="81"/>
      <c r="K39" s="81"/>
      <c r="L39" s="81"/>
      <c r="M39" s="81"/>
    </row>
    <row r="40" spans="1:13" ht="17" x14ac:dyDescent="0.2">
      <c r="A40" s="65" t="s">
        <v>21</v>
      </c>
      <c r="B40" s="65" t="s">
        <v>36</v>
      </c>
      <c r="C40" s="65">
        <v>17</v>
      </c>
      <c r="D40" s="66" t="s">
        <v>79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5" t="s">
        <v>21</v>
      </c>
      <c r="B41" s="65" t="s">
        <v>36</v>
      </c>
      <c r="C41" s="65">
        <v>18</v>
      </c>
      <c r="D41" s="66" t="s">
        <v>80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5" t="s">
        <v>21</v>
      </c>
      <c r="B42" s="65" t="s">
        <v>36</v>
      </c>
      <c r="C42" s="65">
        <v>19</v>
      </c>
      <c r="D42" s="66" t="s">
        <v>81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175</v>
      </c>
      <c r="M42" s="81"/>
    </row>
    <row r="43" spans="1:13" ht="19" x14ac:dyDescent="0.2">
      <c r="A43" s="65" t="s">
        <v>21</v>
      </c>
      <c r="B43" s="65" t="s">
        <v>36</v>
      </c>
      <c r="C43" s="65">
        <v>20</v>
      </c>
      <c r="D43" s="66" t="s">
        <v>82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171.5</v>
      </c>
      <c r="M43" s="81"/>
    </row>
    <row r="44" spans="1:13" ht="17" x14ac:dyDescent="0.2">
      <c r="A44" s="65" t="s">
        <v>21</v>
      </c>
      <c r="B44" s="65" t="s">
        <v>36</v>
      </c>
      <c r="C44" s="65">
        <v>21</v>
      </c>
      <c r="D44" s="66" t="s">
        <v>83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5" t="s">
        <v>23</v>
      </c>
      <c r="B45" s="65" t="s">
        <v>37</v>
      </c>
      <c r="C45" s="65">
        <v>1</v>
      </c>
      <c r="D45" s="66" t="s">
        <v>60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5" t="s">
        <v>23</v>
      </c>
      <c r="B46" s="65" t="s">
        <v>37</v>
      </c>
      <c r="C46" s="65">
        <v>2</v>
      </c>
      <c r="D46" s="66" t="s">
        <v>62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270</v>
      </c>
      <c r="J46" s="81"/>
      <c r="K46" s="81"/>
      <c r="L46" s="83"/>
      <c r="M46" s="81"/>
    </row>
    <row r="47" spans="1:13" ht="19" x14ac:dyDescent="0.2">
      <c r="A47" s="65" t="s">
        <v>23</v>
      </c>
      <c r="B47" s="65" t="s">
        <v>37</v>
      </c>
      <c r="C47" s="65">
        <v>3</v>
      </c>
      <c r="D47" s="66" t="s">
        <v>63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252</v>
      </c>
      <c r="J47" s="81"/>
      <c r="K47" s="81"/>
      <c r="L47" s="83"/>
      <c r="M47" s="81"/>
    </row>
    <row r="48" spans="1:13" ht="19" x14ac:dyDescent="0.2">
      <c r="A48" s="65" t="s">
        <v>23</v>
      </c>
      <c r="B48" s="65" t="s">
        <v>37</v>
      </c>
      <c r="C48" s="65">
        <v>4</v>
      </c>
      <c r="D48" s="66" t="s">
        <v>64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240</v>
      </c>
      <c r="J48" s="81"/>
      <c r="K48" s="81"/>
      <c r="L48" s="83"/>
      <c r="M48" s="81"/>
    </row>
    <row r="49" spans="1:13" ht="19" x14ac:dyDescent="0.2">
      <c r="A49" s="65" t="s">
        <v>23</v>
      </c>
      <c r="B49" s="65" t="s">
        <v>37</v>
      </c>
      <c r="C49" s="65">
        <v>5</v>
      </c>
      <c r="D49" s="66" t="s">
        <v>65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234</v>
      </c>
      <c r="J49" s="81"/>
      <c r="K49" s="81"/>
      <c r="L49" s="83"/>
      <c r="M49" s="81"/>
    </row>
    <row r="50" spans="1:13" ht="19" x14ac:dyDescent="0.2">
      <c r="A50" s="65" t="s">
        <v>23</v>
      </c>
      <c r="B50" s="65" t="s">
        <v>37</v>
      </c>
      <c r="C50" s="65">
        <v>6</v>
      </c>
      <c r="D50" s="66" t="s">
        <v>66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228</v>
      </c>
      <c r="J50" s="81"/>
      <c r="K50" s="81"/>
      <c r="L50" s="83"/>
      <c r="M50" s="81"/>
    </row>
    <row r="51" spans="1:13" ht="19" x14ac:dyDescent="0.2">
      <c r="A51" s="65" t="s">
        <v>23</v>
      </c>
      <c r="B51" s="65" t="s">
        <v>37</v>
      </c>
      <c r="C51" s="65">
        <v>7</v>
      </c>
      <c r="D51" s="66" t="s">
        <v>67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222</v>
      </c>
      <c r="J51" s="81"/>
      <c r="K51" s="81"/>
      <c r="L51" s="83"/>
      <c r="M51" s="81"/>
    </row>
    <row r="52" spans="1:13" ht="19" x14ac:dyDescent="0.2">
      <c r="A52" s="65" t="s">
        <v>59</v>
      </c>
      <c r="B52" s="65" t="s">
        <v>38</v>
      </c>
      <c r="C52" s="65">
        <v>1</v>
      </c>
      <c r="D52" s="66" t="s">
        <v>60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500</v>
      </c>
      <c r="J52" s="81"/>
      <c r="K52" s="81"/>
      <c r="L52" s="83"/>
      <c r="M52" s="81"/>
    </row>
    <row r="53" spans="1:13" ht="19" x14ac:dyDescent="0.2">
      <c r="A53" s="65" t="s">
        <v>59</v>
      </c>
      <c r="B53" s="65" t="s">
        <v>38</v>
      </c>
      <c r="C53" s="65">
        <v>2</v>
      </c>
      <c r="D53" s="66" t="s">
        <v>62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450</v>
      </c>
      <c r="J53" s="81"/>
      <c r="K53" s="81"/>
      <c r="L53" s="83"/>
      <c r="M53" s="81"/>
    </row>
    <row r="54" spans="1:13" ht="19" x14ac:dyDescent="0.2">
      <c r="A54" s="65" t="s">
        <v>59</v>
      </c>
      <c r="B54" s="65" t="s">
        <v>38</v>
      </c>
      <c r="C54" s="65">
        <v>3</v>
      </c>
      <c r="D54" s="66" t="s">
        <v>63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420</v>
      </c>
      <c r="J54" s="81"/>
      <c r="K54" s="81"/>
      <c r="L54" s="83"/>
      <c r="M54" s="81"/>
    </row>
    <row r="55" spans="1:13" ht="19" x14ac:dyDescent="0.2">
      <c r="A55" s="65" t="s">
        <v>59</v>
      </c>
      <c r="B55" s="65" t="s">
        <v>38</v>
      </c>
      <c r="C55" s="65">
        <v>4</v>
      </c>
      <c r="D55" s="66" t="s">
        <v>64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400</v>
      </c>
      <c r="J55" s="81"/>
      <c r="K55" s="81"/>
      <c r="L55" s="83"/>
      <c r="M55" s="81"/>
    </row>
    <row r="56" spans="1:13" ht="19" x14ac:dyDescent="0.2">
      <c r="A56" s="65" t="s">
        <v>59</v>
      </c>
      <c r="B56" s="65" t="s">
        <v>38</v>
      </c>
      <c r="C56" s="65">
        <v>5</v>
      </c>
      <c r="D56" s="66" t="s">
        <v>65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390</v>
      </c>
      <c r="J56" s="81"/>
      <c r="K56" s="81"/>
      <c r="L56" s="82"/>
      <c r="M56" s="81"/>
    </row>
    <row r="57" spans="1:13" ht="19" x14ac:dyDescent="0.2">
      <c r="A57" s="65" t="s">
        <v>59</v>
      </c>
      <c r="B57" s="65" t="s">
        <v>38</v>
      </c>
      <c r="C57" s="65">
        <v>6</v>
      </c>
      <c r="D57" s="66" t="s">
        <v>66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380</v>
      </c>
      <c r="J57" s="81"/>
      <c r="K57" s="81"/>
      <c r="L57" s="82"/>
      <c r="M57" s="81"/>
    </row>
    <row r="58" spans="1:13" ht="19" x14ac:dyDescent="0.2">
      <c r="A58" s="65" t="s">
        <v>19</v>
      </c>
      <c r="B58" s="65" t="s">
        <v>39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375</v>
      </c>
      <c r="J58" s="81"/>
      <c r="K58" s="81"/>
      <c r="L58" s="82"/>
      <c r="M58" s="81"/>
    </row>
    <row r="59" spans="1:13" ht="19" x14ac:dyDescent="0.2">
      <c r="A59" s="65" t="s">
        <v>19</v>
      </c>
      <c r="B59" s="65" t="s">
        <v>39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337.5</v>
      </c>
      <c r="J59" s="81"/>
      <c r="K59" s="81"/>
      <c r="L59" s="82"/>
      <c r="M59" s="81"/>
    </row>
    <row r="60" spans="1:13" ht="19" x14ac:dyDescent="0.2">
      <c r="A60" s="65" t="s">
        <v>21</v>
      </c>
      <c r="B60" s="65" t="s">
        <v>40</v>
      </c>
      <c r="C60" s="65">
        <v>1</v>
      </c>
      <c r="D60" s="66" t="s">
        <v>60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350</v>
      </c>
      <c r="J60" s="81"/>
      <c r="K60" s="81"/>
      <c r="L60" s="83"/>
      <c r="M60" s="81"/>
    </row>
    <row r="61" spans="1:13" ht="19" x14ac:dyDescent="0.2">
      <c r="A61" s="65" t="s">
        <v>21</v>
      </c>
      <c r="B61" s="65" t="s">
        <v>40</v>
      </c>
      <c r="C61" s="65">
        <v>2</v>
      </c>
      <c r="D61" s="66" t="s">
        <v>62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315</v>
      </c>
      <c r="J61" s="81"/>
      <c r="K61" s="81"/>
      <c r="L61" s="82"/>
      <c r="M61" s="81"/>
    </row>
    <row r="62" spans="1:13" ht="19" x14ac:dyDescent="0.2">
      <c r="A62" s="65" t="s">
        <v>41</v>
      </c>
      <c r="B62" s="65" t="s">
        <v>45</v>
      </c>
      <c r="C62" s="65">
        <v>1</v>
      </c>
      <c r="D62" s="66" t="s">
        <v>60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500</v>
      </c>
      <c r="J62" s="81"/>
      <c r="K62" s="81"/>
      <c r="L62" s="82"/>
      <c r="M62" s="81"/>
    </row>
    <row r="63" spans="1:13" ht="19" x14ac:dyDescent="0.2">
      <c r="A63" s="65" t="s">
        <v>41</v>
      </c>
      <c r="B63" s="65" t="s">
        <v>45</v>
      </c>
      <c r="C63" s="65">
        <v>2</v>
      </c>
      <c r="D63" s="66" t="s">
        <v>62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450</v>
      </c>
      <c r="J63" s="81"/>
      <c r="K63" s="81"/>
      <c r="L63" s="82"/>
      <c r="M63" s="81"/>
    </row>
    <row r="64" spans="1:13" ht="19" x14ac:dyDescent="0.2">
      <c r="A64" s="65" t="s">
        <v>41</v>
      </c>
      <c r="B64" s="65" t="s">
        <v>45</v>
      </c>
      <c r="C64" s="65">
        <v>3</v>
      </c>
      <c r="D64" s="66" t="s">
        <v>63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420</v>
      </c>
      <c r="J64" s="81"/>
      <c r="K64" s="81"/>
      <c r="L64" s="83"/>
      <c r="M64" s="81"/>
    </row>
    <row r="65" spans="1:13" ht="19" x14ac:dyDescent="0.2">
      <c r="A65" s="65" t="s">
        <v>41</v>
      </c>
      <c r="B65" s="65" t="s">
        <v>116</v>
      </c>
      <c r="C65" s="65">
        <v>1</v>
      </c>
      <c r="D65" s="66" t="s">
        <v>60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500</v>
      </c>
      <c r="J65" s="81"/>
      <c r="K65" s="81"/>
      <c r="L65" s="83"/>
      <c r="M65" s="81"/>
    </row>
    <row r="66" spans="1:13" ht="19" x14ac:dyDescent="0.2">
      <c r="A66" s="65" t="s">
        <v>41</v>
      </c>
      <c r="B66" s="65" t="s">
        <v>46</v>
      </c>
      <c r="C66" s="65">
        <v>1</v>
      </c>
      <c r="D66" s="66" t="s">
        <v>60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500</v>
      </c>
      <c r="J66" s="81"/>
      <c r="K66" s="81"/>
      <c r="L66" s="83"/>
      <c r="M66" s="81"/>
    </row>
    <row r="67" spans="1:13" ht="17" x14ac:dyDescent="0.2">
      <c r="A67" s="65" t="s">
        <v>41</v>
      </c>
      <c r="B67" s="65" t="s">
        <v>46</v>
      </c>
      <c r="C67" s="65">
        <v>2</v>
      </c>
      <c r="D67" s="66" t="s">
        <v>62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5" t="s">
        <v>41</v>
      </c>
      <c r="B68" s="65" t="s">
        <v>46</v>
      </c>
      <c r="C68" s="65">
        <v>3</v>
      </c>
      <c r="D68" s="66" t="s">
        <v>63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5" t="s">
        <v>41</v>
      </c>
      <c r="B69" s="65" t="s">
        <v>46</v>
      </c>
      <c r="C69" s="65">
        <v>4</v>
      </c>
      <c r="D69" s="66" t="s">
        <v>64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400</v>
      </c>
      <c r="J69" s="81"/>
      <c r="K69" s="81"/>
      <c r="L69" s="83"/>
      <c r="M69" s="81"/>
    </row>
    <row r="70" spans="1:13" ht="19" x14ac:dyDescent="0.2">
      <c r="A70" s="65" t="s">
        <v>41</v>
      </c>
      <c r="B70" s="65" t="s">
        <v>46</v>
      </c>
      <c r="C70" s="65">
        <v>5</v>
      </c>
      <c r="D70" s="66" t="s">
        <v>65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390</v>
      </c>
      <c r="J70" s="81"/>
      <c r="K70" s="81"/>
      <c r="L70" s="82"/>
      <c r="M70" s="81"/>
    </row>
    <row r="71" spans="1:13" ht="17" x14ac:dyDescent="0.2">
      <c r="A71" s="65" t="s">
        <v>41</v>
      </c>
      <c r="B71" s="65" t="s">
        <v>46</v>
      </c>
      <c r="C71" s="65">
        <v>6</v>
      </c>
      <c r="D71" s="66" t="s">
        <v>66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5" t="s">
        <v>41</v>
      </c>
      <c r="B72" s="65" t="s">
        <v>46</v>
      </c>
      <c r="C72" s="65">
        <v>7</v>
      </c>
      <c r="D72" s="66" t="s">
        <v>67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5" t="s">
        <v>41</v>
      </c>
      <c r="B73" s="65" t="s">
        <v>117</v>
      </c>
      <c r="C73" s="65">
        <v>1</v>
      </c>
      <c r="D73" s="66" t="s">
        <v>60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500</v>
      </c>
      <c r="M73" s="81"/>
    </row>
    <row r="74" spans="1:13" ht="19" x14ac:dyDescent="0.2">
      <c r="A74" s="65" t="s">
        <v>41</v>
      </c>
      <c r="B74" s="65" t="s">
        <v>47</v>
      </c>
      <c r="C74" s="65">
        <v>1</v>
      </c>
      <c r="D74" s="66" t="s">
        <v>60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500</v>
      </c>
      <c r="M74" s="81"/>
    </row>
    <row r="75" spans="1:13" ht="19" x14ac:dyDescent="0.2">
      <c r="A75" s="65" t="s">
        <v>41</v>
      </c>
      <c r="B75" s="65" t="s">
        <v>47</v>
      </c>
      <c r="C75" s="65">
        <v>2</v>
      </c>
      <c r="D75" s="66" t="s">
        <v>62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450</v>
      </c>
      <c r="M75" s="81"/>
    </row>
    <row r="76" spans="1:13" ht="19" x14ac:dyDescent="0.2">
      <c r="A76" s="65" t="s">
        <v>41</v>
      </c>
      <c r="B76" s="65" t="s">
        <v>47</v>
      </c>
      <c r="C76" s="65">
        <v>3</v>
      </c>
      <c r="D76" s="66" t="s">
        <v>63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420</v>
      </c>
      <c r="M76" s="81"/>
    </row>
    <row r="77" spans="1:13" ht="19" x14ac:dyDescent="0.2">
      <c r="A77" s="65" t="s">
        <v>41</v>
      </c>
      <c r="B77" s="65" t="s">
        <v>47</v>
      </c>
      <c r="C77" s="65">
        <v>4</v>
      </c>
      <c r="D77" s="66" t="s">
        <v>64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400</v>
      </c>
      <c r="M77" s="81"/>
    </row>
    <row r="78" spans="1:13" ht="19" x14ac:dyDescent="0.2">
      <c r="A78" s="65" t="s">
        <v>41</v>
      </c>
      <c r="B78" s="65" t="s">
        <v>47</v>
      </c>
      <c r="C78" s="65">
        <v>5</v>
      </c>
      <c r="D78" s="66" t="s">
        <v>65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390</v>
      </c>
      <c r="M78" s="81"/>
    </row>
    <row r="79" spans="1:13" ht="19" x14ac:dyDescent="0.2">
      <c r="A79" s="65" t="s">
        <v>41</v>
      </c>
      <c r="B79" s="65" t="s">
        <v>47</v>
      </c>
      <c r="C79" s="65">
        <v>6</v>
      </c>
      <c r="D79" s="66" t="s">
        <v>66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380</v>
      </c>
      <c r="M79" s="81"/>
    </row>
    <row r="80" spans="1:13" ht="17" x14ac:dyDescent="0.2">
      <c r="A80" s="65" t="s">
        <v>41</v>
      </c>
      <c r="B80" s="65" t="s">
        <v>47</v>
      </c>
      <c r="C80" s="65">
        <v>7</v>
      </c>
      <c r="D80" s="66" t="s">
        <v>67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5" t="s">
        <v>41</v>
      </c>
      <c r="B81" s="65" t="s">
        <v>47</v>
      </c>
      <c r="C81" s="65">
        <v>8</v>
      </c>
      <c r="D81" s="66" t="s">
        <v>68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5" t="s">
        <v>41</v>
      </c>
      <c r="B82" s="65" t="s">
        <v>48</v>
      </c>
      <c r="C82" s="65">
        <v>1</v>
      </c>
      <c r="D82" s="66" t="s">
        <v>60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500</v>
      </c>
      <c r="M82" s="81"/>
    </row>
    <row r="83" spans="1:13" ht="19" x14ac:dyDescent="0.2">
      <c r="A83" s="65" t="s">
        <v>41</v>
      </c>
      <c r="B83" s="65" t="s">
        <v>48</v>
      </c>
      <c r="C83" s="65">
        <v>2</v>
      </c>
      <c r="D83" s="66" t="s">
        <v>62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450</v>
      </c>
      <c r="M83" s="81"/>
    </row>
    <row r="84" spans="1:13" ht="19" x14ac:dyDescent="0.2">
      <c r="A84" s="65" t="s">
        <v>41</v>
      </c>
      <c r="B84" s="65" t="s">
        <v>48</v>
      </c>
      <c r="C84" s="65">
        <v>3</v>
      </c>
      <c r="D84" s="66" t="s">
        <v>63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420</v>
      </c>
      <c r="M84" s="81"/>
    </row>
    <row r="85" spans="1:13" ht="19" x14ac:dyDescent="0.2">
      <c r="A85" s="65"/>
      <c r="B85" s="65"/>
      <c r="C85" s="62"/>
      <c r="D85" s="66"/>
      <c r="F85" s="81"/>
    </row>
    <row r="86" spans="1:13" ht="16" x14ac:dyDescent="0.2">
      <c r="A86" s="65"/>
      <c r="B86" s="65"/>
      <c r="C86" s="62"/>
      <c r="D86" s="66"/>
      <c r="F86" s="84" t="s">
        <v>116</v>
      </c>
    </row>
    <row r="87" spans="1:13" ht="19" x14ac:dyDescent="0.2">
      <c r="F87" s="81"/>
      <c r="G87" s="81"/>
      <c r="H87" s="81"/>
      <c r="I87" s="81"/>
      <c r="M87" s="81"/>
    </row>
    <row r="88" spans="1:13" ht="19" x14ac:dyDescent="0.2">
      <c r="F88" s="81"/>
    </row>
    <row r="89" spans="1:13" x14ac:dyDescent="0.2">
      <c r="F89" s="84" t="s">
        <v>46</v>
      </c>
    </row>
    <row r="90" spans="1:13" ht="19" x14ac:dyDescent="0.2">
      <c r="F90" s="81"/>
      <c r="G90" s="81"/>
      <c r="H90" s="81"/>
      <c r="I90" s="81"/>
      <c r="J90" s="81"/>
      <c r="K90" s="81"/>
      <c r="L90" s="82"/>
      <c r="M90" s="81"/>
    </row>
    <row r="91" spans="1:13" ht="19" x14ac:dyDescent="0.2">
      <c r="F91" s="81"/>
      <c r="G91" s="81"/>
      <c r="H91" s="81"/>
      <c r="I91" s="81"/>
      <c r="J91" s="81"/>
      <c r="K91" s="81"/>
      <c r="L91" s="82"/>
      <c r="M91" s="81"/>
    </row>
    <row r="92" spans="1:13" ht="19" x14ac:dyDescent="0.2">
      <c r="F92" s="81"/>
      <c r="G92" s="81"/>
      <c r="H92" s="81"/>
      <c r="I92" s="81"/>
      <c r="J92" s="81"/>
      <c r="K92" s="81"/>
      <c r="L92" s="82"/>
      <c r="M92" s="81"/>
    </row>
    <row r="93" spans="1:13" ht="19" x14ac:dyDescent="0.2">
      <c r="F93" s="81"/>
      <c r="G93" s="81"/>
      <c r="H93" s="81"/>
      <c r="I93" s="81"/>
      <c r="J93" s="81"/>
      <c r="K93" s="81"/>
      <c r="L93" s="82"/>
      <c r="M93" s="81"/>
    </row>
    <row r="94" spans="1:13" ht="19" x14ac:dyDescent="0.2">
      <c r="F94" s="81"/>
      <c r="G94" s="81"/>
      <c r="H94" s="81"/>
      <c r="I94" s="81"/>
      <c r="J94" s="81"/>
      <c r="K94" s="81"/>
      <c r="L94" s="82"/>
      <c r="M94" s="81"/>
    </row>
    <row r="95" spans="1:13" ht="19" x14ac:dyDescent="0.2">
      <c r="F95" s="81"/>
      <c r="G95" s="81"/>
      <c r="H95" s="81"/>
      <c r="I95" s="81"/>
      <c r="J95" s="81"/>
      <c r="K95" s="81"/>
      <c r="L95" s="82"/>
      <c r="M95" s="81"/>
    </row>
    <row r="96" spans="1:13" ht="19" x14ac:dyDescent="0.2">
      <c r="F96" s="81"/>
      <c r="G96" s="81"/>
      <c r="H96" s="81"/>
      <c r="I96" s="81"/>
      <c r="J96" s="81"/>
      <c r="K96" s="81"/>
      <c r="L96" s="82"/>
      <c r="M96" s="81"/>
    </row>
    <row r="97" spans="6:13" ht="19" x14ac:dyDescent="0.2">
      <c r="F97" s="81"/>
      <c r="G97" s="81"/>
      <c r="H97" s="81"/>
      <c r="I97" s="81"/>
      <c r="J97" s="81"/>
      <c r="K97" s="81"/>
      <c r="L97" s="81"/>
      <c r="M97" s="81"/>
    </row>
    <row r="98" spans="6:13" ht="19" x14ac:dyDescent="0.2">
      <c r="F98" s="81"/>
    </row>
    <row r="99" spans="6:13" x14ac:dyDescent="0.2">
      <c r="F99" s="84" t="s">
        <v>117</v>
      </c>
    </row>
    <row r="100" spans="6:13" ht="19" x14ac:dyDescent="0.2">
      <c r="F100" s="81"/>
      <c r="G100" s="81"/>
      <c r="H100" s="81"/>
      <c r="I100" s="81"/>
      <c r="M100" s="81"/>
    </row>
    <row r="101" spans="6:13" ht="19" x14ac:dyDescent="0.2">
      <c r="F101" s="81"/>
    </row>
    <row r="102" spans="6:13" x14ac:dyDescent="0.2">
      <c r="F102" s="84" t="s">
        <v>47</v>
      </c>
    </row>
    <row r="103" spans="6:13" ht="19" x14ac:dyDescent="0.2">
      <c r="F103" s="81"/>
      <c r="G103" s="81"/>
      <c r="H103" s="81"/>
      <c r="I103" s="81"/>
      <c r="M103" s="81"/>
    </row>
    <row r="104" spans="6:13" ht="19" x14ac:dyDescent="0.2">
      <c r="F104" s="81"/>
      <c r="G104" s="81"/>
      <c r="H104" s="81"/>
      <c r="I104" s="81"/>
      <c r="M104" s="81"/>
    </row>
    <row r="105" spans="6:13" ht="19" x14ac:dyDescent="0.2">
      <c r="F105" s="81"/>
      <c r="G105" s="81"/>
      <c r="H105" s="81"/>
      <c r="I105" s="81"/>
      <c r="M105" s="81"/>
    </row>
    <row r="106" spans="6:13" ht="19" x14ac:dyDescent="0.2">
      <c r="F106" s="81"/>
      <c r="G106" s="81"/>
      <c r="H106" s="81"/>
      <c r="I106" s="81"/>
      <c r="M106" s="81"/>
    </row>
    <row r="107" spans="6:13" ht="19" x14ac:dyDescent="0.2">
      <c r="F107" s="81"/>
      <c r="G107" s="81"/>
      <c r="H107" s="81"/>
      <c r="I107" s="81"/>
      <c r="M107" s="81"/>
    </row>
    <row r="108" spans="6:13" ht="19" x14ac:dyDescent="0.2">
      <c r="F108" s="81"/>
      <c r="G108" s="81"/>
      <c r="H108" s="81"/>
      <c r="I108" s="81"/>
      <c r="M108" s="81"/>
    </row>
    <row r="109" spans="6:13" ht="19" x14ac:dyDescent="0.2">
      <c r="F109" s="81"/>
      <c r="G109" s="81"/>
      <c r="H109" s="81"/>
      <c r="I109" s="81"/>
      <c r="M109" s="81"/>
    </row>
    <row r="110" spans="6:13" ht="19" x14ac:dyDescent="0.2">
      <c r="F110" s="81"/>
      <c r="G110" s="81"/>
      <c r="H110" s="81"/>
      <c r="I110" s="81"/>
      <c r="M110" s="81"/>
    </row>
    <row r="111" spans="6:13" ht="19" x14ac:dyDescent="0.2">
      <c r="F111" s="81"/>
    </row>
    <row r="112" spans="6:13" x14ac:dyDescent="0.2">
      <c r="F112" s="84" t="s">
        <v>48</v>
      </c>
    </row>
    <row r="113" spans="6:13" ht="19" x14ac:dyDescent="0.2">
      <c r="F113" s="81"/>
      <c r="G113" s="81"/>
      <c r="H113" s="81"/>
      <c r="I113" s="81"/>
      <c r="M113" s="81"/>
    </row>
    <row r="114" spans="6:13" ht="19" x14ac:dyDescent="0.2">
      <c r="F114" s="81"/>
      <c r="G114" s="81"/>
      <c r="H114" s="81"/>
      <c r="I114" s="81"/>
      <c r="M114" s="81"/>
    </row>
    <row r="115" spans="6:13" ht="19" x14ac:dyDescent="0.2">
      <c r="F115" s="81"/>
      <c r="G115" s="81"/>
      <c r="H115" s="81"/>
      <c r="I115" s="81"/>
      <c r="M115" s="81"/>
    </row>
    <row r="116" spans="6:13" ht="19" x14ac:dyDescent="0.2">
      <c r="F116" s="81"/>
    </row>
    <row r="117" spans="6:13" x14ac:dyDescent="0.2">
      <c r="F117" s="84" t="s">
        <v>118</v>
      </c>
    </row>
    <row r="118" spans="6:13" ht="19" x14ac:dyDescent="0.2">
      <c r="F118" s="81"/>
      <c r="G118" s="81"/>
      <c r="H118" s="81"/>
      <c r="I118" s="81"/>
      <c r="J118" s="81" t="s">
        <v>119</v>
      </c>
      <c r="K118" s="81">
        <v>9</v>
      </c>
      <c r="L118" s="83">
        <v>0.79583333333333339</v>
      </c>
      <c r="M118" s="81"/>
    </row>
    <row r="119" spans="6:13" ht="19" x14ac:dyDescent="0.2">
      <c r="F119" s="81"/>
      <c r="G119" s="81"/>
      <c r="H119" s="81"/>
      <c r="I119" s="81"/>
      <c r="J119" s="81" t="s">
        <v>120</v>
      </c>
      <c r="K119" s="81">
        <v>9</v>
      </c>
      <c r="L119" s="83">
        <v>0.79861111111111116</v>
      </c>
      <c r="M119" s="81"/>
    </row>
    <row r="120" spans="6:13" ht="19" x14ac:dyDescent="0.2">
      <c r="F120" s="81"/>
      <c r="G120" s="81"/>
      <c r="H120" s="81"/>
      <c r="I120" s="81"/>
      <c r="J120" s="81" t="s">
        <v>121</v>
      </c>
      <c r="K120" s="81">
        <v>8</v>
      </c>
      <c r="L120" s="83">
        <v>0.78888888888888886</v>
      </c>
      <c r="M120" s="81"/>
    </row>
    <row r="121" spans="6:13" ht="19" x14ac:dyDescent="0.2">
      <c r="F121" s="81"/>
    </row>
    <row r="122" spans="6:13" x14ac:dyDescent="0.2">
      <c r="F122" s="84" t="s">
        <v>122</v>
      </c>
    </row>
    <row r="123" spans="6:13" ht="19" x14ac:dyDescent="0.2">
      <c r="F123" s="81"/>
      <c r="G123" s="81"/>
      <c r="H123" s="81"/>
      <c r="I123" s="81"/>
      <c r="J123" s="81" t="s">
        <v>123</v>
      </c>
      <c r="K123" s="81">
        <v>10</v>
      </c>
      <c r="L123" s="83">
        <v>0.96111111111111114</v>
      </c>
      <c r="M123" s="81"/>
    </row>
    <row r="124" spans="6:13" ht="19" x14ac:dyDescent="0.2">
      <c r="F124" s="81"/>
      <c r="G124" s="81"/>
      <c r="H124" s="81"/>
      <c r="I124" s="81"/>
      <c r="J124" s="81" t="s">
        <v>124</v>
      </c>
      <c r="K124" s="81">
        <v>9</v>
      </c>
      <c r="L124" s="82">
        <v>1.0034722222222221</v>
      </c>
    </row>
  </sheetData>
  <phoneticPr fontId="1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7" x14ac:dyDescent="0.2">
      <c r="A14" s="65" t="s">
        <v>19</v>
      </c>
      <c r="B14" s="65" t="s">
        <v>35</v>
      </c>
      <c r="C14" s="65">
        <v>1</v>
      </c>
      <c r="D14" s="66" t="s">
        <v>60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5" t="s">
        <v>19</v>
      </c>
      <c r="B15" s="65" t="s">
        <v>35</v>
      </c>
      <c r="C15" s="65">
        <v>2</v>
      </c>
      <c r="D15" s="66" t="s">
        <v>62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5" t="s">
        <v>19</v>
      </c>
      <c r="B16" s="65" t="s">
        <v>35</v>
      </c>
      <c r="C16" s="65">
        <v>3</v>
      </c>
      <c r="D16" s="66" t="s">
        <v>63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5" t="s">
        <v>19</v>
      </c>
      <c r="B17" s="65" t="s">
        <v>35</v>
      </c>
      <c r="C17" s="65">
        <v>4</v>
      </c>
      <c r="D17" s="66" t="s">
        <v>64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5" t="s">
        <v>19</v>
      </c>
      <c r="B18" s="65" t="s">
        <v>35</v>
      </c>
      <c r="C18" s="65">
        <v>5</v>
      </c>
      <c r="D18" s="66" t="s">
        <v>65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5" t="s">
        <v>19</v>
      </c>
      <c r="B19" s="65" t="s">
        <v>35</v>
      </c>
      <c r="C19" s="65">
        <v>6</v>
      </c>
      <c r="D19" s="66" t="s">
        <v>66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5" t="s">
        <v>19</v>
      </c>
      <c r="B20" s="65" t="s">
        <v>35</v>
      </c>
      <c r="C20" s="65">
        <v>7</v>
      </c>
      <c r="D20" s="66" t="s">
        <v>67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5" t="s">
        <v>19</v>
      </c>
      <c r="B21" s="65" t="s">
        <v>35</v>
      </c>
      <c r="C21" s="65">
        <v>8</v>
      </c>
      <c r="D21" s="66" t="s">
        <v>68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5" t="s">
        <v>19</v>
      </c>
      <c r="B22" s="65" t="s">
        <v>35</v>
      </c>
      <c r="C22" s="65">
        <v>9</v>
      </c>
      <c r="D22" s="66" t="s">
        <v>69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5" t="s">
        <v>19</v>
      </c>
      <c r="B23" s="65" t="s">
        <v>35</v>
      </c>
      <c r="C23" s="65">
        <v>10</v>
      </c>
      <c r="D23" s="66" t="s">
        <v>70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5" t="s">
        <v>19</v>
      </c>
      <c r="B24" s="65" t="s">
        <v>35</v>
      </c>
      <c r="C24" s="65">
        <v>11</v>
      </c>
      <c r="D24" s="66" t="s">
        <v>71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5" t="s">
        <v>19</v>
      </c>
      <c r="B25" s="65" t="s">
        <v>35</v>
      </c>
      <c r="C25" s="65">
        <v>12</v>
      </c>
      <c r="D25" s="66" t="s">
        <v>72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5" t="s">
        <v>19</v>
      </c>
      <c r="B26" s="65" t="s">
        <v>35</v>
      </c>
      <c r="C26" s="65">
        <v>13</v>
      </c>
      <c r="D26" s="66" t="s">
        <v>73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5" t="s">
        <v>21</v>
      </c>
      <c r="B27" s="65" t="s">
        <v>36</v>
      </c>
      <c r="C27" s="65">
        <v>1</v>
      </c>
      <c r="D27" s="66" t="s">
        <v>60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5" t="s">
        <v>21</v>
      </c>
      <c r="B28" s="65" t="s">
        <v>36</v>
      </c>
      <c r="C28" s="65">
        <v>2</v>
      </c>
      <c r="D28" s="66" t="s">
        <v>62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5" t="s">
        <v>21</v>
      </c>
      <c r="B29" s="65" t="s">
        <v>36</v>
      </c>
      <c r="C29" s="65">
        <v>3</v>
      </c>
      <c r="D29" s="66" t="s">
        <v>63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5" t="s">
        <v>21</v>
      </c>
      <c r="B30" s="65" t="s">
        <v>36</v>
      </c>
      <c r="C30" s="65">
        <v>4</v>
      </c>
      <c r="D30" s="66" t="s">
        <v>64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5" t="s">
        <v>21</v>
      </c>
      <c r="B31" s="65" t="s">
        <v>36</v>
      </c>
      <c r="C31" s="65">
        <v>5</v>
      </c>
      <c r="D31" s="66" t="s">
        <v>65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5" t="s">
        <v>21</v>
      </c>
      <c r="B32" s="65" t="s">
        <v>36</v>
      </c>
      <c r="C32" s="65">
        <v>6</v>
      </c>
      <c r="D32" s="66" t="s">
        <v>66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5" t="s">
        <v>21</v>
      </c>
      <c r="B33" s="65" t="s">
        <v>36</v>
      </c>
      <c r="C33" s="65">
        <v>7</v>
      </c>
      <c r="D33" s="66" t="s">
        <v>67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5" t="s">
        <v>21</v>
      </c>
      <c r="B34" s="65" t="s">
        <v>36</v>
      </c>
      <c r="C34" s="65">
        <v>8</v>
      </c>
      <c r="D34" s="66" t="s">
        <v>68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5" t="s">
        <v>21</v>
      </c>
      <c r="B35" s="65" t="s">
        <v>36</v>
      </c>
      <c r="C35" s="65">
        <v>9</v>
      </c>
      <c r="D35" s="66" t="s">
        <v>69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5" t="s">
        <v>21</v>
      </c>
      <c r="B36" s="65" t="s">
        <v>36</v>
      </c>
      <c r="C36" s="65">
        <v>10</v>
      </c>
      <c r="D36" s="66" t="s">
        <v>70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5" t="s">
        <v>21</v>
      </c>
      <c r="B37" s="65" t="s">
        <v>36</v>
      </c>
      <c r="C37" s="65">
        <v>11</v>
      </c>
      <c r="D37" s="66" t="s">
        <v>71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5" t="s">
        <v>21</v>
      </c>
      <c r="B38" s="65" t="s">
        <v>36</v>
      </c>
      <c r="C38" s="65">
        <v>12</v>
      </c>
      <c r="D38" s="66" t="s">
        <v>72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5" t="s">
        <v>21</v>
      </c>
      <c r="B39" s="65" t="s">
        <v>36</v>
      </c>
      <c r="C39" s="65">
        <v>13</v>
      </c>
      <c r="D39" s="66" t="s">
        <v>73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5" t="s">
        <v>21</v>
      </c>
      <c r="B40" s="65" t="s">
        <v>36</v>
      </c>
      <c r="C40" s="65">
        <v>14</v>
      </c>
      <c r="D40" s="66" t="s">
        <v>74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5" t="s">
        <v>21</v>
      </c>
      <c r="B41" s="65" t="s">
        <v>36</v>
      </c>
      <c r="C41" s="65">
        <v>15</v>
      </c>
      <c r="D41" s="66" t="s">
        <v>75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5" t="s">
        <v>21</v>
      </c>
      <c r="B42" s="65" t="s">
        <v>36</v>
      </c>
      <c r="C42" s="65">
        <v>16</v>
      </c>
      <c r="D42" s="66" t="s">
        <v>76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5" t="s">
        <v>21</v>
      </c>
      <c r="B43" s="65" t="s">
        <v>36</v>
      </c>
      <c r="C43" s="65">
        <v>17</v>
      </c>
      <c r="D43" s="66" t="s">
        <v>79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5" t="s">
        <v>21</v>
      </c>
      <c r="B44" s="65" t="s">
        <v>36</v>
      </c>
      <c r="C44" s="65">
        <v>18</v>
      </c>
      <c r="D44" s="66" t="s">
        <v>80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5" t="s">
        <v>21</v>
      </c>
      <c r="B45" s="65" t="s">
        <v>36</v>
      </c>
      <c r="C45" s="65">
        <v>19</v>
      </c>
      <c r="D45" s="66" t="s">
        <v>81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5" t="s">
        <v>21</v>
      </c>
      <c r="B46" s="65" t="s">
        <v>36</v>
      </c>
      <c r="C46" s="65">
        <v>20</v>
      </c>
      <c r="D46" s="66" t="s">
        <v>82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5" t="s">
        <v>21</v>
      </c>
      <c r="B47" s="65" t="s">
        <v>36</v>
      </c>
      <c r="C47" s="65">
        <v>21</v>
      </c>
      <c r="D47" s="66" t="s">
        <v>83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5" t="s">
        <v>21</v>
      </c>
      <c r="B48" s="65" t="s">
        <v>36</v>
      </c>
      <c r="C48" s="65">
        <v>22</v>
      </c>
      <c r="D48" s="66" t="s">
        <v>84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5" t="s">
        <v>21</v>
      </c>
      <c r="B49" s="65" t="s">
        <v>36</v>
      </c>
      <c r="C49" s="65">
        <v>23</v>
      </c>
      <c r="D49" s="66" t="s">
        <v>125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5" t="s">
        <v>21</v>
      </c>
      <c r="B50" s="65" t="s">
        <v>36</v>
      </c>
      <c r="C50" s="65">
        <v>24</v>
      </c>
      <c r="D50" s="66" t="s">
        <v>126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5" t="s">
        <v>21</v>
      </c>
      <c r="B51" s="65" t="s">
        <v>36</v>
      </c>
      <c r="C51" s="65">
        <v>25</v>
      </c>
      <c r="D51" s="66" t="s">
        <v>127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5" t="s">
        <v>21</v>
      </c>
      <c r="B52" s="65" t="s">
        <v>36</v>
      </c>
      <c r="C52" s="65">
        <v>26</v>
      </c>
      <c r="D52" s="66" t="s">
        <v>128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5" t="s">
        <v>21</v>
      </c>
      <c r="B53" s="65" t="s">
        <v>36</v>
      </c>
      <c r="C53" s="65">
        <v>27</v>
      </c>
      <c r="D53" s="66" t="s">
        <v>129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5" t="s">
        <v>21</v>
      </c>
      <c r="B54" s="65" t="s">
        <v>36</v>
      </c>
      <c r="C54" s="65">
        <v>28</v>
      </c>
      <c r="D54" s="66" t="s">
        <v>130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5" t="s">
        <v>21</v>
      </c>
      <c r="B55" s="65" t="s">
        <v>36</v>
      </c>
      <c r="C55" s="65">
        <v>29</v>
      </c>
      <c r="D55" s="66" t="s">
        <v>131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5" t="s">
        <v>21</v>
      </c>
      <c r="B56" s="65" t="s">
        <v>36</v>
      </c>
      <c r="C56" s="65">
        <v>30</v>
      </c>
      <c r="D56" s="66" t="s">
        <v>132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5" t="s">
        <v>21</v>
      </c>
      <c r="B57" s="65" t="s">
        <v>36</v>
      </c>
      <c r="C57" s="65">
        <v>31</v>
      </c>
      <c r="D57" s="66" t="s">
        <v>133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5" t="s">
        <v>23</v>
      </c>
      <c r="B58" s="65" t="s">
        <v>37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5" t="s">
        <v>23</v>
      </c>
      <c r="B59" s="65" t="s">
        <v>37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5" t="s">
        <v>23</v>
      </c>
      <c r="B60" s="65" t="s">
        <v>37</v>
      </c>
      <c r="C60" s="65">
        <v>3</v>
      </c>
      <c r="D60" s="66" t="s">
        <v>63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5" t="s">
        <v>23</v>
      </c>
      <c r="B61" s="65" t="s">
        <v>37</v>
      </c>
      <c r="C61" s="65">
        <v>4</v>
      </c>
      <c r="D61" s="66" t="s">
        <v>64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5" t="s">
        <v>23</v>
      </c>
      <c r="B62" s="65" t="s">
        <v>37</v>
      </c>
      <c r="C62" s="65">
        <v>5</v>
      </c>
      <c r="D62" s="66" t="s">
        <v>65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5" t="s">
        <v>23</v>
      </c>
      <c r="B63" s="65" t="s">
        <v>37</v>
      </c>
      <c r="C63" s="65">
        <v>6</v>
      </c>
      <c r="D63" s="66" t="s">
        <v>66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5" t="s">
        <v>23</v>
      </c>
      <c r="B64" s="65" t="s">
        <v>37</v>
      </c>
      <c r="C64" s="65">
        <v>7</v>
      </c>
      <c r="D64" s="66" t="s">
        <v>67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5" t="s">
        <v>23</v>
      </c>
      <c r="B65" s="65" t="s">
        <v>37</v>
      </c>
      <c r="C65" s="65">
        <v>8</v>
      </c>
      <c r="D65" s="66" t="s">
        <v>68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5" t="s">
        <v>23</v>
      </c>
      <c r="B66" s="65" t="s">
        <v>37</v>
      </c>
      <c r="C66" s="65">
        <v>9</v>
      </c>
      <c r="D66" s="66" t="s">
        <v>69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5" t="s">
        <v>23</v>
      </c>
      <c r="B67" s="65" t="s">
        <v>37</v>
      </c>
      <c r="C67" s="65">
        <v>10</v>
      </c>
      <c r="D67" s="66" t="s">
        <v>70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5" t="s">
        <v>23</v>
      </c>
      <c r="B68" s="65" t="s">
        <v>37</v>
      </c>
      <c r="C68" s="65">
        <v>11</v>
      </c>
      <c r="D68" s="66" t="s">
        <v>71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5" t="s">
        <v>23</v>
      </c>
      <c r="B69" s="65" t="s">
        <v>37</v>
      </c>
      <c r="C69" s="65">
        <v>12</v>
      </c>
      <c r="D69" s="66" t="s">
        <v>72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5" t="s">
        <v>23</v>
      </c>
      <c r="B70" s="65" t="s">
        <v>37</v>
      </c>
      <c r="C70" s="65">
        <v>13</v>
      </c>
      <c r="D70" s="66" t="s">
        <v>73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5" t="s">
        <v>23</v>
      </c>
      <c r="B71" s="65" t="s">
        <v>37</v>
      </c>
      <c r="C71" s="65">
        <v>14</v>
      </c>
      <c r="D71" s="66" t="s">
        <v>74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5" t="s">
        <v>23</v>
      </c>
      <c r="B72" s="65" t="s">
        <v>37</v>
      </c>
      <c r="C72" s="65">
        <v>15</v>
      </c>
      <c r="D72" s="66" t="s">
        <v>75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5" t="s">
        <v>23</v>
      </c>
      <c r="B73" s="65" t="s">
        <v>37</v>
      </c>
      <c r="C73" s="65">
        <v>16</v>
      </c>
      <c r="D73" s="66" t="s">
        <v>76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5" t="s">
        <v>23</v>
      </c>
      <c r="B74" s="65" t="s">
        <v>37</v>
      </c>
      <c r="C74" s="65">
        <v>17</v>
      </c>
      <c r="D74" s="66" t="s">
        <v>79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5" t="s">
        <v>23</v>
      </c>
      <c r="B75" s="65" t="s">
        <v>37</v>
      </c>
      <c r="C75" s="65">
        <v>18</v>
      </c>
      <c r="D75" s="66" t="s">
        <v>80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5" t="s">
        <v>23</v>
      </c>
      <c r="B76" s="65" t="s">
        <v>37</v>
      </c>
      <c r="C76" s="65">
        <v>19</v>
      </c>
      <c r="D76" s="66" t="s">
        <v>81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5" t="s">
        <v>23</v>
      </c>
      <c r="B77" s="65" t="s">
        <v>37</v>
      </c>
      <c r="C77" s="65">
        <v>20</v>
      </c>
      <c r="D77" s="66" t="s">
        <v>82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5" t="s">
        <v>59</v>
      </c>
      <c r="B78" s="65" t="s">
        <v>38</v>
      </c>
      <c r="C78" s="65">
        <v>1</v>
      </c>
      <c r="D78" s="66" t="s">
        <v>60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5" t="s">
        <v>59</v>
      </c>
      <c r="B79" s="65" t="s">
        <v>38</v>
      </c>
      <c r="C79" s="65">
        <v>2</v>
      </c>
      <c r="D79" s="66" t="s">
        <v>62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5" t="s">
        <v>59</v>
      </c>
      <c r="B80" s="65" t="s">
        <v>38</v>
      </c>
      <c r="C80" s="65">
        <v>3</v>
      </c>
      <c r="D80" s="66" t="s">
        <v>63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5" t="s">
        <v>19</v>
      </c>
      <c r="B81" s="65" t="s">
        <v>39</v>
      </c>
      <c r="C81" s="65">
        <v>1</v>
      </c>
      <c r="D81" s="66" t="s">
        <v>60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5" t="s">
        <v>19</v>
      </c>
      <c r="B82" s="65" t="s">
        <v>39</v>
      </c>
      <c r="C82" s="65">
        <v>2</v>
      </c>
      <c r="D82" s="66" t="s">
        <v>62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5" t="s">
        <v>21</v>
      </c>
      <c r="B83" s="65" t="s">
        <v>40</v>
      </c>
      <c r="C83" s="65">
        <v>1</v>
      </c>
      <c r="D83" s="66" t="s">
        <v>60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5" t="s">
        <v>21</v>
      </c>
      <c r="B84" s="65" t="s">
        <v>40</v>
      </c>
      <c r="C84" s="65">
        <v>2</v>
      </c>
      <c r="D84" s="66" t="s">
        <v>62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315</v>
      </c>
      <c r="P84" s="90"/>
      <c r="Q84" s="90"/>
      <c r="R84" s="90"/>
      <c r="S84" s="90"/>
      <c r="T84" s="90"/>
      <c r="U84" s="90"/>
      <c r="V84" s="90"/>
      <c r="W84" s="90"/>
    </row>
    <row r="85" spans="1:23" ht="18" customHeight="1" x14ac:dyDescent="0.2">
      <c r="A85" s="65" t="s">
        <v>23</v>
      </c>
      <c r="B85" s="65" t="s">
        <v>134</v>
      </c>
      <c r="C85" s="65">
        <v>1</v>
      </c>
      <c r="D85" s="66" t="s">
        <v>60</v>
      </c>
      <c r="E85" s="62" t="s">
        <v>61</v>
      </c>
      <c r="F85" s="65"/>
      <c r="G85" s="65"/>
      <c r="H85" s="85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5" t="s">
        <v>23</v>
      </c>
      <c r="B86" s="65" t="s">
        <v>134</v>
      </c>
      <c r="C86" s="65">
        <v>2</v>
      </c>
      <c r="D86" s="66" t="s">
        <v>62</v>
      </c>
      <c r="E86" s="62" t="s">
        <v>61</v>
      </c>
      <c r="F86" s="65"/>
      <c r="G86" s="65"/>
      <c r="H86" s="85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5" t="s">
        <v>41</v>
      </c>
      <c r="B87" s="65" t="s">
        <v>45</v>
      </c>
      <c r="C87" s="65">
        <v>1</v>
      </c>
      <c r="D87" s="66" t="s">
        <v>60</v>
      </c>
      <c r="E87" s="62" t="s">
        <v>61</v>
      </c>
      <c r="F87" s="65"/>
      <c r="G87" s="65"/>
      <c r="H87" s="89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5" t="s">
        <v>41</v>
      </c>
      <c r="B88" s="65" t="s">
        <v>46</v>
      </c>
      <c r="C88" s="65">
        <v>1</v>
      </c>
      <c r="D88" s="66" t="s">
        <v>60</v>
      </c>
      <c r="E88" s="62" t="s">
        <v>61</v>
      </c>
      <c r="F88" s="65"/>
      <c r="G88" s="65"/>
      <c r="H88" s="85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5" t="s">
        <v>41</v>
      </c>
      <c r="B89" s="65" t="s">
        <v>46</v>
      </c>
      <c r="C89" s="65">
        <v>2</v>
      </c>
      <c r="D89" s="66" t="s">
        <v>62</v>
      </c>
      <c r="E89" s="62" t="s">
        <v>61</v>
      </c>
      <c r="F89" s="65"/>
      <c r="G89" s="65"/>
      <c r="H89" s="85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5" t="s">
        <v>41</v>
      </c>
      <c r="B90" s="65" t="s">
        <v>47</v>
      </c>
      <c r="C90" s="65">
        <v>1</v>
      </c>
      <c r="D90" s="66" t="s">
        <v>60</v>
      </c>
      <c r="E90" s="62" t="s">
        <v>61</v>
      </c>
      <c r="F90" s="65"/>
      <c r="G90" s="65"/>
      <c r="H90" s="85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5" t="s">
        <v>41</v>
      </c>
      <c r="B91" s="65" t="s">
        <v>47</v>
      </c>
      <c r="C91" s="65">
        <v>2</v>
      </c>
      <c r="D91" s="66" t="s">
        <v>62</v>
      </c>
      <c r="E91" s="62" t="s">
        <v>61</v>
      </c>
      <c r="F91" s="65"/>
      <c r="G91" s="65"/>
      <c r="H91" s="85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5" t="s">
        <v>41</v>
      </c>
      <c r="B92" s="65" t="s">
        <v>47</v>
      </c>
      <c r="C92" s="65">
        <v>3</v>
      </c>
      <c r="D92" s="66" t="s">
        <v>63</v>
      </c>
      <c r="E92" s="62" t="s">
        <v>61</v>
      </c>
      <c r="F92" s="65"/>
      <c r="G92" s="65"/>
      <c r="H92" s="85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5" t="s">
        <v>41</v>
      </c>
      <c r="B93" s="65" t="s">
        <v>47</v>
      </c>
      <c r="C93" s="65">
        <v>4</v>
      </c>
      <c r="D93" s="66" t="s">
        <v>64</v>
      </c>
      <c r="E93" s="62" t="s">
        <v>61</v>
      </c>
      <c r="F93" s="65"/>
      <c r="G93" s="65"/>
      <c r="H93" s="85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5" t="s">
        <v>41</v>
      </c>
      <c r="B94" s="65" t="s">
        <v>47</v>
      </c>
      <c r="C94" s="65">
        <v>5</v>
      </c>
      <c r="D94" s="66" t="s">
        <v>65</v>
      </c>
      <c r="E94" s="62" t="s">
        <v>61</v>
      </c>
      <c r="F94" s="65"/>
      <c r="G94" s="65"/>
      <c r="H94" s="85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5" t="s">
        <v>41</v>
      </c>
      <c r="B95" s="65" t="s">
        <v>47</v>
      </c>
      <c r="C95" s="65">
        <v>6</v>
      </c>
      <c r="D95" s="66" t="s">
        <v>66</v>
      </c>
      <c r="E95" s="62" t="s">
        <v>61</v>
      </c>
      <c r="F95" s="65"/>
      <c r="G95" s="65"/>
      <c r="H95" s="85"/>
      <c r="I95" s="55">
        <f>VLOOKUP(C95,'Points Table'!A$3:L$43,IF(A95="A Grade / Juniors",4,IF(A95="B Grade",6,IF(A95="C Grade",8,IF(A95="D Grade",10,12)))))</f>
        <v>380</v>
      </c>
      <c r="N95" s="90"/>
      <c r="O95" s="90"/>
      <c r="P95" s="90"/>
      <c r="Q95" s="90"/>
      <c r="R95" s="90"/>
      <c r="S95" s="90"/>
      <c r="T95" s="90"/>
      <c r="U95" s="90"/>
    </row>
    <row r="96" spans="1:23" ht="17" customHeight="1" x14ac:dyDescent="0.2">
      <c r="A96" s="65" t="s">
        <v>41</v>
      </c>
      <c r="B96" s="65" t="s">
        <v>47</v>
      </c>
      <c r="C96" s="65">
        <v>7</v>
      </c>
      <c r="D96" s="66" t="s">
        <v>67</v>
      </c>
      <c r="E96" s="62" t="s">
        <v>61</v>
      </c>
      <c r="F96" s="65"/>
      <c r="G96" s="65"/>
      <c r="H96" s="85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5" t="s">
        <v>41</v>
      </c>
      <c r="B97" s="65" t="s">
        <v>47</v>
      </c>
      <c r="C97" s="65">
        <v>8</v>
      </c>
      <c r="D97" s="66" t="s">
        <v>68</v>
      </c>
      <c r="E97" s="62" t="s">
        <v>61</v>
      </c>
      <c r="F97" s="65"/>
      <c r="G97" s="65"/>
      <c r="H97" s="85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5" t="s">
        <v>41</v>
      </c>
      <c r="B98" s="65" t="s">
        <v>85</v>
      </c>
      <c r="C98" s="65">
        <v>1</v>
      </c>
      <c r="D98" s="66" t="s">
        <v>60</v>
      </c>
      <c r="E98" s="91" t="s">
        <v>61</v>
      </c>
      <c r="F98" s="65"/>
      <c r="G98" s="65"/>
      <c r="H98" s="85"/>
      <c r="I98" s="55">
        <f>VLOOKUP(C98,'Points Table'!A$3:L$43,IF(A98="A Grade / Juniors",4,IF(A98="B Grade",6,IF(A98="C Grade",8,IF(A98="D Grade",10,12)))))</f>
        <v>500</v>
      </c>
    </row>
  </sheetData>
  <phoneticPr fontId="1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T3" s="81"/>
      <c r="V3" s="81"/>
      <c r="W3" s="81"/>
      <c r="X3" s="81"/>
      <c r="Y3" s="81"/>
      <c r="Z3" s="95"/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R4" s="81"/>
      <c r="S4" s="81"/>
      <c r="T4" s="96"/>
      <c r="U4" s="97"/>
      <c r="V4" s="98"/>
      <c r="X4" s="81"/>
      <c r="Y4" s="81"/>
      <c r="Z4" s="95"/>
      <c r="AA4" s="81"/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P5" s="81"/>
      <c r="Q5" s="81"/>
      <c r="R5" s="81"/>
      <c r="T5" s="81"/>
      <c r="U5" s="81"/>
      <c r="V5" s="96"/>
      <c r="W5" s="97"/>
      <c r="X5" s="98"/>
      <c r="Z5" s="95"/>
      <c r="AA5" s="81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P6" s="81"/>
      <c r="Q6" s="81"/>
      <c r="R6" s="81"/>
      <c r="S6" s="81"/>
      <c r="T6" s="81"/>
      <c r="U6" s="81"/>
      <c r="V6" s="96"/>
      <c r="W6" s="97"/>
      <c r="X6" s="98"/>
      <c r="Y6" s="81"/>
      <c r="Z6" s="95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P7" s="81"/>
      <c r="Q7" s="81"/>
      <c r="R7" s="81"/>
      <c r="S7" s="81"/>
      <c r="T7" s="81"/>
      <c r="U7" s="81"/>
      <c r="V7" s="96"/>
      <c r="W7" s="97"/>
      <c r="X7" s="98"/>
      <c r="Y7" s="81"/>
      <c r="Z7" s="95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P8" s="81"/>
      <c r="Q8" s="81"/>
      <c r="R8" s="81"/>
      <c r="S8" s="81"/>
      <c r="T8" s="81"/>
      <c r="U8" s="81"/>
      <c r="V8" s="96"/>
      <c r="W8" s="97"/>
      <c r="X8" s="98"/>
      <c r="Y8" s="81"/>
      <c r="Z8" s="95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P9" s="81"/>
      <c r="Q9" s="81"/>
      <c r="R9" s="81"/>
      <c r="S9" s="81"/>
      <c r="T9" s="81"/>
      <c r="U9" s="81"/>
      <c r="V9" s="96"/>
      <c r="W9" s="97"/>
      <c r="X9" s="98"/>
      <c r="Y9" s="81"/>
      <c r="Z9" s="95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P10" s="81"/>
      <c r="Q10" s="81"/>
      <c r="R10" s="81"/>
      <c r="S10" s="81"/>
      <c r="T10" s="81"/>
      <c r="U10" s="81"/>
      <c r="V10" s="96"/>
      <c r="W10" s="97"/>
      <c r="X10" s="98"/>
      <c r="Y10" s="81"/>
      <c r="Z10" s="95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P11" s="81"/>
      <c r="Q11" s="81"/>
      <c r="R11" s="81"/>
      <c r="S11" s="81"/>
      <c r="T11" s="81"/>
      <c r="U11" s="81"/>
      <c r="V11" s="96"/>
      <c r="W11" s="97"/>
      <c r="X11" s="98"/>
      <c r="Y11" s="81"/>
      <c r="Z11" s="95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P12" s="81"/>
      <c r="Q12" s="81"/>
      <c r="R12" s="81"/>
      <c r="S12" s="81"/>
      <c r="T12" s="81"/>
      <c r="U12" s="81"/>
      <c r="V12" s="96"/>
      <c r="W12" s="97"/>
      <c r="X12" s="98"/>
      <c r="Y12" s="81"/>
      <c r="Z12" s="95"/>
      <c r="AA12" s="81"/>
    </row>
    <row r="13" spans="1:27" ht="20" customHeight="1" x14ac:dyDescent="0.2">
      <c r="A13" s="94" t="s">
        <v>59</v>
      </c>
      <c r="B13" s="96" t="s">
        <v>34</v>
      </c>
      <c r="C13" s="94">
        <v>12</v>
      </c>
      <c r="D13" s="94" t="s">
        <v>72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320</v>
      </c>
      <c r="P13" s="81"/>
      <c r="Q13" s="81"/>
      <c r="R13" s="81"/>
      <c r="S13" s="81"/>
      <c r="T13" s="81"/>
      <c r="U13" s="81"/>
      <c r="V13" s="96"/>
      <c r="W13" s="97"/>
      <c r="X13" s="98"/>
      <c r="Y13" s="81"/>
      <c r="Z13" s="95"/>
      <c r="AA13" s="81"/>
    </row>
    <row r="14" spans="1:27" ht="20" customHeight="1" x14ac:dyDescent="0.2">
      <c r="A14" s="94" t="s">
        <v>59</v>
      </c>
      <c r="B14" s="96" t="s">
        <v>34</v>
      </c>
      <c r="C14" s="94">
        <v>13</v>
      </c>
      <c r="D14" s="94" t="s">
        <v>73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310</v>
      </c>
      <c r="P14" s="81"/>
      <c r="Q14" s="81"/>
      <c r="R14" s="81"/>
      <c r="S14" s="81"/>
      <c r="T14" s="81"/>
      <c r="U14" s="81"/>
      <c r="V14" s="96"/>
      <c r="W14" s="97"/>
      <c r="X14" s="98"/>
      <c r="Y14" s="81"/>
      <c r="Z14" s="95"/>
      <c r="AA14" s="81"/>
    </row>
    <row r="15" spans="1:27" ht="20" customHeight="1" x14ac:dyDescent="0.2">
      <c r="A15" s="94" t="s">
        <v>19</v>
      </c>
      <c r="B15" s="96" t="s">
        <v>35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375</v>
      </c>
      <c r="R15" s="81"/>
      <c r="S15" s="81"/>
      <c r="T15" s="81"/>
      <c r="U15" s="81"/>
      <c r="V15" s="96"/>
      <c r="W15" s="97"/>
      <c r="X15" s="98"/>
      <c r="Y15" s="81"/>
      <c r="Z15" s="95"/>
    </row>
    <row r="16" spans="1:27" ht="20" customHeight="1" x14ac:dyDescent="0.2">
      <c r="A16" s="94" t="s">
        <v>19</v>
      </c>
      <c r="B16" s="96" t="s">
        <v>35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337.5</v>
      </c>
      <c r="R16" s="81"/>
      <c r="S16" s="81"/>
      <c r="T16" s="81"/>
      <c r="U16" s="81"/>
      <c r="V16" s="96"/>
      <c r="W16" s="97"/>
      <c r="X16" s="98"/>
      <c r="Y16" s="81"/>
    </row>
    <row r="17" spans="1:25" ht="20" customHeight="1" x14ac:dyDescent="0.2">
      <c r="A17" s="94" t="s">
        <v>19</v>
      </c>
      <c r="B17" s="96" t="s">
        <v>35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315</v>
      </c>
      <c r="R17" s="81"/>
      <c r="S17" s="81"/>
      <c r="T17" s="81"/>
      <c r="U17" s="81"/>
      <c r="V17" s="96"/>
      <c r="W17" s="97"/>
      <c r="X17" s="98"/>
      <c r="Y17" s="81"/>
    </row>
    <row r="18" spans="1:25" ht="20" customHeight="1" x14ac:dyDescent="0.2">
      <c r="A18" s="94" t="s">
        <v>19</v>
      </c>
      <c r="B18" s="96" t="s">
        <v>35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300</v>
      </c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292.5</v>
      </c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285</v>
      </c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277.5</v>
      </c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19</v>
      </c>
      <c r="B22" s="96" t="s">
        <v>35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270</v>
      </c>
      <c r="R22" s="81"/>
      <c r="S22" s="81"/>
      <c r="T22" s="81"/>
      <c r="U22" s="81"/>
      <c r="V22" s="96"/>
      <c r="W22" s="97"/>
      <c r="X22" s="98"/>
    </row>
    <row r="23" spans="1:25" ht="20" customHeight="1" x14ac:dyDescent="0.2">
      <c r="A23" s="94" t="s">
        <v>19</v>
      </c>
      <c r="B23" s="96" t="s">
        <v>35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4" t="s">
        <v>19</v>
      </c>
      <c r="B24" s="96" t="s">
        <v>35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4" t="s">
        <v>19</v>
      </c>
      <c r="B25" s="96" t="s">
        <v>35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4" t="s">
        <v>21</v>
      </c>
      <c r="B26" s="96" t="s">
        <v>36</v>
      </c>
      <c r="C26" s="94">
        <v>1</v>
      </c>
      <c r="D26" s="94" t="s">
        <v>60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4" t="s">
        <v>21</v>
      </c>
      <c r="B27" s="96" t="s">
        <v>36</v>
      </c>
      <c r="C27" s="94">
        <v>2</v>
      </c>
      <c r="D27" s="96" t="s">
        <v>62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4" t="s">
        <v>21</v>
      </c>
      <c r="B28" s="96" t="s">
        <v>36</v>
      </c>
      <c r="C28" s="94">
        <v>3</v>
      </c>
      <c r="D28" s="94" t="s">
        <v>63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4" t="s">
        <v>21</v>
      </c>
      <c r="B29" s="96" t="s">
        <v>36</v>
      </c>
      <c r="C29" s="94">
        <v>4</v>
      </c>
      <c r="D29" s="96" t="s">
        <v>64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4" t="s">
        <v>21</v>
      </c>
      <c r="B30" s="96" t="s">
        <v>36</v>
      </c>
      <c r="C30" s="94">
        <v>5</v>
      </c>
      <c r="D30" s="94" t="s">
        <v>65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4" t="s">
        <v>21</v>
      </c>
      <c r="B31" s="96" t="s">
        <v>36</v>
      </c>
      <c r="C31" s="94">
        <v>6</v>
      </c>
      <c r="D31" s="96" t="s">
        <v>66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4" t="s">
        <v>21</v>
      </c>
      <c r="B32" s="96" t="s">
        <v>36</v>
      </c>
      <c r="C32" s="94">
        <v>7</v>
      </c>
      <c r="D32" s="94" t="s">
        <v>67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4" t="s">
        <v>21</v>
      </c>
      <c r="B33" s="96" t="s">
        <v>36</v>
      </c>
      <c r="C33" s="94">
        <v>8</v>
      </c>
      <c r="D33" s="96" t="s">
        <v>68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4" t="s">
        <v>21</v>
      </c>
      <c r="B34" s="96" t="s">
        <v>36</v>
      </c>
      <c r="C34" s="94">
        <v>9</v>
      </c>
      <c r="D34" s="94" t="s">
        <v>69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4" t="s">
        <v>21</v>
      </c>
      <c r="B35" s="96" t="s">
        <v>36</v>
      </c>
      <c r="C35" s="94">
        <v>10</v>
      </c>
      <c r="D35" s="96" t="s">
        <v>70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4" t="s">
        <v>21</v>
      </c>
      <c r="B36" s="96" t="s">
        <v>36</v>
      </c>
      <c r="C36" s="94">
        <v>11</v>
      </c>
      <c r="D36" s="94" t="s">
        <v>71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4" t="s">
        <v>21</v>
      </c>
      <c r="B37" s="96" t="s">
        <v>36</v>
      </c>
      <c r="C37" s="94">
        <v>12</v>
      </c>
      <c r="D37" s="94" t="s">
        <v>72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4" t="s">
        <v>21</v>
      </c>
      <c r="B38" s="96" t="s">
        <v>36</v>
      </c>
      <c r="C38" s="94">
        <v>13</v>
      </c>
      <c r="D38" s="96" t="s">
        <v>73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4" t="s">
        <v>21</v>
      </c>
      <c r="B39" s="96" t="s">
        <v>36</v>
      </c>
      <c r="C39" s="94">
        <v>14</v>
      </c>
      <c r="D39" s="94" t="s">
        <v>74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4" t="s">
        <v>21</v>
      </c>
      <c r="B40" s="96" t="s">
        <v>36</v>
      </c>
      <c r="C40" s="94">
        <v>15</v>
      </c>
      <c r="D40" s="96" t="s">
        <v>75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203</v>
      </c>
      <c r="S40" s="81"/>
      <c r="T40" s="81"/>
      <c r="U40" s="81"/>
      <c r="W40" s="96"/>
      <c r="X40" s="97"/>
      <c r="Y40" s="98"/>
    </row>
    <row r="41" spans="1:26" ht="20" customHeight="1" x14ac:dyDescent="0.2">
      <c r="A41" s="94" t="s">
        <v>21</v>
      </c>
      <c r="B41" s="96" t="s">
        <v>36</v>
      </c>
      <c r="C41" s="94">
        <v>16</v>
      </c>
      <c r="D41" s="94" t="s">
        <v>76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196</v>
      </c>
      <c r="S41" s="81"/>
      <c r="T41" s="81"/>
      <c r="U41" s="81"/>
      <c r="V41" s="81"/>
      <c r="W41" s="96"/>
      <c r="X41" s="97"/>
      <c r="Y41" s="98"/>
      <c r="Z41" s="81"/>
    </row>
    <row r="42" spans="1:26" ht="20" customHeight="1" x14ac:dyDescent="0.2">
      <c r="A42" s="94" t="s">
        <v>21</v>
      </c>
      <c r="B42" s="96" t="s">
        <v>36</v>
      </c>
      <c r="C42" s="94">
        <v>17</v>
      </c>
      <c r="D42" s="96" t="s">
        <v>79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189</v>
      </c>
      <c r="S42" s="81"/>
      <c r="T42" s="81"/>
      <c r="U42" s="81"/>
      <c r="V42" s="81"/>
      <c r="W42" s="96"/>
      <c r="X42" s="97"/>
      <c r="Y42" s="98"/>
      <c r="Z42" s="81"/>
    </row>
    <row r="43" spans="1:26" ht="20" customHeight="1" x14ac:dyDescent="0.2">
      <c r="A43" s="94" t="s">
        <v>21</v>
      </c>
      <c r="B43" s="96" t="s">
        <v>36</v>
      </c>
      <c r="C43" s="94">
        <v>18</v>
      </c>
      <c r="D43" s="94" t="s">
        <v>80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182</v>
      </c>
      <c r="S43" s="81"/>
      <c r="T43" s="81"/>
      <c r="U43" s="81"/>
      <c r="V43" s="81"/>
      <c r="W43" s="96"/>
      <c r="X43" s="97"/>
      <c r="Y43" s="98"/>
      <c r="Z43" s="81"/>
    </row>
    <row r="44" spans="1:26" ht="20" customHeight="1" x14ac:dyDescent="0.2">
      <c r="A44" s="94" t="s">
        <v>23</v>
      </c>
      <c r="B44" s="96" t="s">
        <v>37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300</v>
      </c>
      <c r="S44" s="81"/>
      <c r="T44" s="81"/>
      <c r="U44" s="81"/>
      <c r="V44" s="81"/>
      <c r="W44" s="96"/>
      <c r="X44" s="97"/>
      <c r="Y44" s="98"/>
      <c r="Z44" s="81"/>
    </row>
    <row r="45" spans="1:26" ht="20" customHeight="1" x14ac:dyDescent="0.2">
      <c r="A45" s="94" t="s">
        <v>23</v>
      </c>
      <c r="B45" s="96" t="s">
        <v>37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270</v>
      </c>
      <c r="S45" s="81"/>
      <c r="T45" s="81"/>
      <c r="U45" s="81"/>
      <c r="V45" s="81"/>
      <c r="W45" s="96"/>
      <c r="X45" s="97"/>
      <c r="Y45" s="98"/>
      <c r="Z45" s="81"/>
    </row>
    <row r="46" spans="1:26" ht="20" customHeight="1" x14ac:dyDescent="0.2">
      <c r="A46" s="94" t="s">
        <v>23</v>
      </c>
      <c r="B46" s="96" t="s">
        <v>37</v>
      </c>
      <c r="C46" s="94">
        <v>3</v>
      </c>
      <c r="D46" s="94" t="s">
        <v>63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252</v>
      </c>
      <c r="S46" s="81"/>
      <c r="T46" s="81"/>
      <c r="U46" s="81"/>
      <c r="V46" s="81"/>
      <c r="W46" s="96"/>
      <c r="X46" s="97"/>
      <c r="Y46" s="98"/>
      <c r="Z46" s="81"/>
    </row>
    <row r="47" spans="1:26" ht="20" customHeight="1" x14ac:dyDescent="0.2">
      <c r="A47" s="94" t="s">
        <v>23</v>
      </c>
      <c r="B47" s="96" t="s">
        <v>37</v>
      </c>
      <c r="C47" s="94">
        <v>4</v>
      </c>
      <c r="D47" s="96" t="s">
        <v>64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240</v>
      </c>
      <c r="S47" s="81"/>
      <c r="T47" s="81"/>
      <c r="U47" s="81"/>
      <c r="V47" s="81"/>
      <c r="W47" s="96"/>
      <c r="X47" s="97"/>
      <c r="Y47" s="98"/>
      <c r="Z47" s="81"/>
    </row>
    <row r="48" spans="1:26" ht="20" customHeight="1" x14ac:dyDescent="0.2">
      <c r="A48" s="94" t="s">
        <v>23</v>
      </c>
      <c r="B48" s="96" t="s">
        <v>37</v>
      </c>
      <c r="C48" s="94">
        <v>5</v>
      </c>
      <c r="D48" s="94" t="s">
        <v>65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234</v>
      </c>
      <c r="S48" s="81"/>
      <c r="T48" s="81"/>
      <c r="U48" s="81"/>
      <c r="V48" s="81"/>
      <c r="W48" s="96"/>
      <c r="X48" s="97"/>
      <c r="Y48" s="98"/>
      <c r="Z48" s="81"/>
    </row>
    <row r="49" spans="1:27" ht="20" customHeight="1" x14ac:dyDescent="0.2">
      <c r="A49" s="94" t="s">
        <v>23</v>
      </c>
      <c r="B49" s="96" t="s">
        <v>37</v>
      </c>
      <c r="C49" s="94">
        <v>6</v>
      </c>
      <c r="D49" s="96" t="s">
        <v>66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228</v>
      </c>
      <c r="S49" s="81"/>
      <c r="T49" s="81"/>
      <c r="U49" s="81"/>
      <c r="V49" s="81"/>
      <c r="W49" s="96"/>
      <c r="X49" s="97"/>
      <c r="Y49" s="98"/>
      <c r="Z49" s="81"/>
    </row>
    <row r="50" spans="1:27" ht="20" customHeight="1" x14ac:dyDescent="0.2">
      <c r="A50" s="94" t="s">
        <v>23</v>
      </c>
      <c r="B50" s="96" t="s">
        <v>37</v>
      </c>
      <c r="C50" s="94">
        <v>7</v>
      </c>
      <c r="D50" s="94" t="s">
        <v>67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222</v>
      </c>
      <c r="S50" s="81"/>
      <c r="T50" s="81"/>
      <c r="U50" s="81"/>
      <c r="V50" s="81"/>
      <c r="W50" s="96"/>
      <c r="X50" s="97"/>
      <c r="Y50" s="98"/>
      <c r="Z50" s="81"/>
    </row>
    <row r="51" spans="1:27" ht="20" customHeight="1" x14ac:dyDescent="0.2">
      <c r="A51" s="94" t="s">
        <v>23</v>
      </c>
      <c r="B51" s="96" t="s">
        <v>37</v>
      </c>
      <c r="C51" s="94">
        <v>8</v>
      </c>
      <c r="D51" s="96" t="s">
        <v>68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216</v>
      </c>
      <c r="Q51" s="81"/>
      <c r="R51" s="81"/>
      <c r="U51" s="96"/>
      <c r="V51" s="97"/>
      <c r="W51" s="98"/>
      <c r="X51" s="97"/>
      <c r="Y51" s="98"/>
      <c r="Z51" s="81"/>
    </row>
    <row r="52" spans="1:27" ht="20" customHeight="1" x14ac:dyDescent="0.2">
      <c r="A52" s="94" t="s">
        <v>23</v>
      </c>
      <c r="B52" s="96" t="s">
        <v>37</v>
      </c>
      <c r="C52" s="94">
        <v>9</v>
      </c>
      <c r="D52" s="94" t="s">
        <v>69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210</v>
      </c>
      <c r="Q52" s="81"/>
      <c r="R52" s="81"/>
      <c r="V52" s="81"/>
      <c r="W52" s="96"/>
      <c r="X52" s="97"/>
      <c r="Y52" s="98"/>
      <c r="Z52" s="81"/>
    </row>
    <row r="53" spans="1:27" ht="20" customHeight="1" x14ac:dyDescent="0.2">
      <c r="A53" s="94" t="s">
        <v>23</v>
      </c>
      <c r="B53" s="96" t="s">
        <v>37</v>
      </c>
      <c r="C53" s="94">
        <v>10</v>
      </c>
      <c r="D53" s="96" t="s">
        <v>70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204</v>
      </c>
      <c r="S53" s="81"/>
      <c r="T53" s="81"/>
      <c r="U53" s="81"/>
      <c r="V53" s="81"/>
      <c r="W53" s="96"/>
      <c r="X53" s="97"/>
      <c r="Y53" s="98"/>
    </row>
    <row r="54" spans="1:27" ht="20" customHeight="1" x14ac:dyDescent="0.2">
      <c r="A54" s="94" t="s">
        <v>23</v>
      </c>
      <c r="B54" s="96" t="s">
        <v>37</v>
      </c>
      <c r="C54" s="94">
        <v>11</v>
      </c>
      <c r="D54" s="94" t="s">
        <v>71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198</v>
      </c>
      <c r="W54" s="96"/>
      <c r="X54" s="97"/>
      <c r="Y54" s="98"/>
    </row>
    <row r="55" spans="1:27" ht="20" customHeight="1" x14ac:dyDescent="0.2">
      <c r="A55" s="94" t="s">
        <v>23</v>
      </c>
      <c r="B55" s="96" t="s">
        <v>37</v>
      </c>
      <c r="C55" s="94">
        <v>12</v>
      </c>
      <c r="D55" s="96" t="s">
        <v>72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192</v>
      </c>
      <c r="T55" s="81"/>
      <c r="U55" s="81"/>
      <c r="X55" s="96"/>
      <c r="Y55" s="97"/>
      <c r="Z55" s="98"/>
    </row>
    <row r="56" spans="1:27" ht="20" customHeight="1" x14ac:dyDescent="0.2">
      <c r="A56" s="94" t="s">
        <v>23</v>
      </c>
      <c r="B56" s="96" t="s">
        <v>37</v>
      </c>
      <c r="C56" s="94">
        <v>13</v>
      </c>
      <c r="D56" s="94" t="s">
        <v>73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186</v>
      </c>
      <c r="T56" s="81"/>
      <c r="U56" s="81"/>
      <c r="V56" s="81"/>
      <c r="W56" s="81"/>
      <c r="X56" s="96"/>
      <c r="Y56" s="97"/>
      <c r="Z56" s="98"/>
      <c r="AA56" s="81"/>
    </row>
    <row r="57" spans="1:27" ht="20" customHeight="1" x14ac:dyDescent="0.2">
      <c r="A57" s="94" t="s">
        <v>23</v>
      </c>
      <c r="B57" s="96" t="s">
        <v>37</v>
      </c>
      <c r="C57" s="94">
        <v>14</v>
      </c>
      <c r="D57" s="96" t="s">
        <v>74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180</v>
      </c>
      <c r="T57" s="81"/>
      <c r="U57" s="81"/>
      <c r="V57" s="81"/>
      <c r="W57" s="81"/>
      <c r="X57" s="96"/>
      <c r="Y57" s="97"/>
      <c r="Z57" s="98"/>
    </row>
    <row r="58" spans="1:27" ht="20" customHeight="1" x14ac:dyDescent="0.2">
      <c r="A58" s="94" t="s">
        <v>59</v>
      </c>
      <c r="B58" s="96" t="s">
        <v>38</v>
      </c>
      <c r="C58" s="94">
        <v>1</v>
      </c>
      <c r="D58" s="94" t="s">
        <v>60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4" t="s">
        <v>59</v>
      </c>
      <c r="B59" s="96" t="s">
        <v>38</v>
      </c>
      <c r="C59" s="94">
        <v>2</v>
      </c>
      <c r="D59" s="96" t="s">
        <v>62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450</v>
      </c>
      <c r="S59" s="81"/>
      <c r="T59" s="81"/>
      <c r="W59" s="96"/>
      <c r="X59" s="97"/>
      <c r="Y59" s="98"/>
    </row>
    <row r="60" spans="1:27" ht="20" customHeight="1" x14ac:dyDescent="0.2">
      <c r="A60" s="94" t="s">
        <v>19</v>
      </c>
      <c r="B60" s="96" t="s">
        <v>39</v>
      </c>
      <c r="C60" s="94">
        <v>1</v>
      </c>
      <c r="D60" s="94" t="s">
        <v>60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375</v>
      </c>
      <c r="S60" s="81"/>
      <c r="T60" s="81"/>
      <c r="U60" s="81"/>
      <c r="V60" s="81"/>
      <c r="W60" s="96"/>
      <c r="X60" s="97"/>
      <c r="Y60" s="98"/>
      <c r="Z60" s="81"/>
    </row>
    <row r="61" spans="1:27" ht="20" customHeight="1" x14ac:dyDescent="0.2">
      <c r="A61" s="94" t="s">
        <v>19</v>
      </c>
      <c r="B61" s="96" t="s">
        <v>39</v>
      </c>
      <c r="C61" s="94">
        <v>2</v>
      </c>
      <c r="D61" s="96" t="s">
        <v>62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337.5</v>
      </c>
      <c r="Q61" s="81"/>
      <c r="R61" s="81"/>
      <c r="S61" s="81"/>
      <c r="T61" s="81"/>
      <c r="U61" s="81"/>
      <c r="V61" s="81"/>
      <c r="W61" s="96"/>
      <c r="X61" s="97"/>
      <c r="Y61" s="98"/>
    </row>
    <row r="62" spans="1:27" ht="20" customHeight="1" x14ac:dyDescent="0.2">
      <c r="A62" s="94" t="s">
        <v>21</v>
      </c>
      <c r="B62" s="96" t="s">
        <v>40</v>
      </c>
      <c r="C62" s="94">
        <v>1</v>
      </c>
      <c r="D62" s="94" t="s">
        <v>60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350</v>
      </c>
      <c r="Q62" s="81"/>
      <c r="R62" s="81"/>
      <c r="S62" s="81"/>
      <c r="V62" s="96"/>
      <c r="W62" s="97"/>
      <c r="X62" s="98"/>
    </row>
    <row r="63" spans="1:27" ht="20" customHeight="1" x14ac:dyDescent="0.2">
      <c r="A63" s="94" t="s">
        <v>21</v>
      </c>
      <c r="B63" s="96" t="s">
        <v>40</v>
      </c>
      <c r="C63" s="94">
        <v>2</v>
      </c>
      <c r="D63" s="96" t="s">
        <v>62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315</v>
      </c>
      <c r="R63" s="81"/>
      <c r="S63" s="81"/>
      <c r="T63" s="81"/>
      <c r="U63" s="81"/>
      <c r="V63" s="96"/>
      <c r="W63" s="97"/>
      <c r="X63" s="98"/>
      <c r="Y63" s="81"/>
    </row>
    <row r="64" spans="1:27" ht="20" customHeight="1" x14ac:dyDescent="0.2">
      <c r="A64" s="94" t="s">
        <v>21</v>
      </c>
      <c r="B64" s="96" t="s">
        <v>40</v>
      </c>
      <c r="C64" s="94">
        <v>3</v>
      </c>
      <c r="D64" s="94" t="s">
        <v>63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294</v>
      </c>
      <c r="R64" s="81"/>
      <c r="S64" s="81"/>
      <c r="T64" s="81"/>
      <c r="U64" s="81"/>
      <c r="V64" s="96"/>
      <c r="W64" s="97"/>
      <c r="X64" s="98"/>
      <c r="Y64" s="81"/>
    </row>
    <row r="65" spans="1:24" ht="20" customHeight="1" x14ac:dyDescent="0.2">
      <c r="A65" s="94" t="s">
        <v>21</v>
      </c>
      <c r="B65" s="96" t="s">
        <v>40</v>
      </c>
      <c r="C65" s="94">
        <v>4</v>
      </c>
      <c r="D65" s="96" t="s">
        <v>64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280</v>
      </c>
      <c r="R65" s="81"/>
      <c r="S65" s="81"/>
      <c r="T65" s="81"/>
      <c r="U65" s="81"/>
      <c r="V65" s="96"/>
      <c r="W65" s="97"/>
      <c r="X65" s="98"/>
    </row>
    <row r="66" spans="1:24" ht="20" customHeight="1" x14ac:dyDescent="0.2">
      <c r="A66" s="94" t="s">
        <v>23</v>
      </c>
      <c r="B66" s="96" t="s">
        <v>134</v>
      </c>
      <c r="C66" s="94">
        <v>1</v>
      </c>
      <c r="D66" s="94" t="s">
        <v>60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300</v>
      </c>
      <c r="R66" s="81"/>
      <c r="S66" s="81"/>
      <c r="T66" s="81"/>
      <c r="U66" s="81"/>
      <c r="V66" s="96"/>
      <c r="W66" s="97"/>
      <c r="X66" s="98"/>
    </row>
    <row r="67" spans="1:24" ht="20" customHeight="1" x14ac:dyDescent="0.2">
      <c r="A67" s="94" t="s">
        <v>23</v>
      </c>
      <c r="B67" s="96" t="s">
        <v>134</v>
      </c>
      <c r="C67" s="94">
        <v>2</v>
      </c>
      <c r="D67" s="96" t="s">
        <v>62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270</v>
      </c>
      <c r="R67" s="81"/>
      <c r="S67" s="81"/>
      <c r="T67" s="81"/>
      <c r="U67" s="81"/>
      <c r="V67" s="96"/>
      <c r="W67" s="97"/>
      <c r="X67" s="98"/>
    </row>
    <row r="68" spans="1:24" ht="20" customHeight="1" x14ac:dyDescent="0.2">
      <c r="A68" s="94" t="s">
        <v>23</v>
      </c>
      <c r="B68" s="96" t="s">
        <v>134</v>
      </c>
      <c r="C68" s="94">
        <v>3</v>
      </c>
      <c r="D68" s="94" t="s">
        <v>63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4" t="s">
        <v>41</v>
      </c>
      <c r="B69" s="96" t="s">
        <v>45</v>
      </c>
      <c r="C69" s="94">
        <v>1</v>
      </c>
      <c r="D69" s="94" t="s">
        <v>60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4" t="s">
        <v>41</v>
      </c>
      <c r="B70" s="96" t="s">
        <v>45</v>
      </c>
      <c r="C70" s="94">
        <v>2</v>
      </c>
      <c r="D70" s="96" t="s">
        <v>62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4" t="s">
        <v>41</v>
      </c>
      <c r="B71" s="96" t="s">
        <v>46</v>
      </c>
      <c r="C71" s="94">
        <v>1</v>
      </c>
      <c r="D71" s="94" t="s">
        <v>60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4" t="s">
        <v>41</v>
      </c>
      <c r="B72" s="96" t="s">
        <v>46</v>
      </c>
      <c r="C72" s="94">
        <v>2</v>
      </c>
      <c r="D72" s="96" t="s">
        <v>62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4" t="s">
        <v>41</v>
      </c>
      <c r="B73" s="96" t="s">
        <v>46</v>
      </c>
      <c r="C73" s="94">
        <v>3</v>
      </c>
      <c r="D73" s="94" t="s">
        <v>63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4" t="s">
        <v>41</v>
      </c>
      <c r="B74" s="96" t="s">
        <v>47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  <c r="P74" s="81"/>
      <c r="Q74" s="81"/>
      <c r="T74" s="96"/>
      <c r="U74" s="97"/>
      <c r="V74" s="98"/>
    </row>
    <row r="75" spans="1:24" ht="20" customHeight="1" x14ac:dyDescent="0.2">
      <c r="A75" s="94" t="s">
        <v>41</v>
      </c>
      <c r="B75" s="96" t="s">
        <v>47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  <c r="P75" s="81"/>
      <c r="Q75" s="81"/>
      <c r="R75" s="81"/>
      <c r="S75" s="81"/>
      <c r="T75" s="96"/>
      <c r="U75" s="97"/>
      <c r="V75" s="98"/>
      <c r="W75" s="81"/>
    </row>
    <row r="76" spans="1:24" ht="20" customHeight="1" x14ac:dyDescent="0.2">
      <c r="A76" s="94" t="s">
        <v>41</v>
      </c>
      <c r="B76" s="96" t="s">
        <v>47</v>
      </c>
      <c r="C76" s="94">
        <v>3</v>
      </c>
      <c r="D76" s="94" t="s">
        <v>63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420</v>
      </c>
      <c r="P76" s="81"/>
      <c r="Q76" s="81"/>
      <c r="R76" s="81"/>
      <c r="S76" s="81"/>
      <c r="T76" s="96"/>
      <c r="U76" s="97"/>
      <c r="V76" s="98"/>
      <c r="W76" s="81"/>
    </row>
    <row r="77" spans="1:24" ht="20" customHeight="1" x14ac:dyDescent="0.2">
      <c r="A77" s="94" t="s">
        <v>41</v>
      </c>
      <c r="B77" s="96" t="s">
        <v>47</v>
      </c>
      <c r="C77" s="94">
        <v>4</v>
      </c>
      <c r="D77" s="96" t="s">
        <v>64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400</v>
      </c>
      <c r="P77" s="81"/>
      <c r="Q77" s="81"/>
      <c r="R77" s="81"/>
      <c r="S77" s="81"/>
      <c r="T77" s="96"/>
      <c r="U77" s="97"/>
      <c r="V77" s="98"/>
      <c r="W77" s="81"/>
    </row>
    <row r="78" spans="1:24" ht="20" customHeight="1" x14ac:dyDescent="0.2">
      <c r="A78" s="94" t="s">
        <v>41</v>
      </c>
      <c r="B78" s="96" t="s">
        <v>47</v>
      </c>
      <c r="C78" s="94">
        <v>5</v>
      </c>
      <c r="D78" s="94" t="s">
        <v>65</v>
      </c>
      <c r="E78" s="96" t="s">
        <v>61</v>
      </c>
      <c r="F78" s="96"/>
      <c r="G78" s="97"/>
      <c r="H78" s="98"/>
      <c r="I78" s="55">
        <f>VLOOKUP(C78,'Points Table'!A$3:L$43,IF(A78="A Grade / Juniors",4,IF(A78="B Grade",6,IF(A78="C Grade",8,IF(A78="D Grade",10,12)))))</f>
        <v>390</v>
      </c>
      <c r="P78" s="81"/>
      <c r="Q78" s="81"/>
      <c r="R78" s="81"/>
      <c r="S78" s="81"/>
      <c r="T78" s="96"/>
      <c r="U78" s="97"/>
      <c r="V78" s="98"/>
      <c r="W78" s="81"/>
    </row>
    <row r="79" spans="1:24" ht="20" customHeight="1" x14ac:dyDescent="0.2">
      <c r="A79" s="94" t="s">
        <v>41</v>
      </c>
      <c r="B79" s="96" t="s">
        <v>47</v>
      </c>
      <c r="C79" s="94">
        <v>6</v>
      </c>
      <c r="D79" s="96" t="s">
        <v>66</v>
      </c>
      <c r="E79" s="96" t="s">
        <v>61</v>
      </c>
      <c r="F79" s="96"/>
      <c r="G79" s="97"/>
      <c r="H79" s="98"/>
      <c r="I79" s="55">
        <f>VLOOKUP(C79,'Points Table'!A$3:L$43,IF(A79="A Grade / Juniors",4,IF(A79="B Grade",6,IF(A79="C Grade",8,IF(A79="D Grade",10,12)))))</f>
        <v>380</v>
      </c>
      <c r="P79" s="81"/>
      <c r="Q79" s="81"/>
      <c r="R79" s="81"/>
      <c r="S79" s="81"/>
      <c r="T79" s="96"/>
      <c r="U79" s="97"/>
      <c r="V79" s="98"/>
      <c r="W79" s="81"/>
    </row>
    <row r="80" spans="1:24" ht="20" customHeight="1" x14ac:dyDescent="0.2">
      <c r="A80" s="94" t="s">
        <v>41</v>
      </c>
      <c r="B80" s="96" t="s">
        <v>47</v>
      </c>
      <c r="C80" s="94">
        <v>7</v>
      </c>
      <c r="D80" s="94" t="s">
        <v>67</v>
      </c>
      <c r="E80" s="96" t="s">
        <v>61</v>
      </c>
      <c r="F80" s="96"/>
      <c r="G80" s="97"/>
      <c r="H80" s="98"/>
      <c r="I80" s="55">
        <f>VLOOKUP(C80,'Points Table'!A$3:L$43,IF(A80="A Grade / Juniors",4,IF(A80="B Grade",6,IF(A80="C Grade",8,IF(A80="D Grade",10,12)))))</f>
        <v>370</v>
      </c>
      <c r="P80" s="81"/>
      <c r="Q80" s="81"/>
      <c r="R80" s="81"/>
      <c r="S80" s="81"/>
      <c r="T80" s="96"/>
      <c r="U80" s="97"/>
      <c r="V80" s="98"/>
      <c r="W80" s="81"/>
    </row>
    <row r="81" spans="1:22" ht="20" customHeight="1" x14ac:dyDescent="0.2">
      <c r="A81" s="94" t="s">
        <v>41</v>
      </c>
      <c r="B81" s="96" t="s">
        <v>47</v>
      </c>
      <c r="C81" s="94">
        <v>8</v>
      </c>
      <c r="D81" s="96" t="s">
        <v>68</v>
      </c>
      <c r="E81" s="96" t="s">
        <v>61</v>
      </c>
      <c r="F81" s="96"/>
      <c r="G81" s="97"/>
      <c r="H81" s="98"/>
      <c r="I81" s="55">
        <f>VLOOKUP(C81,'Points Table'!A$3:L$43,IF(A81="A Grade / Juniors",4,IF(A81="B Grade",6,IF(A81="C Grade",8,IF(A81="D Grade",10,12)))))</f>
        <v>360</v>
      </c>
      <c r="P81" s="81"/>
      <c r="Q81" s="81"/>
      <c r="R81" s="81"/>
      <c r="S81" s="81"/>
      <c r="T81" s="96"/>
      <c r="U81" s="97"/>
      <c r="V81" s="98"/>
    </row>
    <row r="82" spans="1:22" ht="20" customHeight="1" x14ac:dyDescent="0.2">
      <c r="A82" s="94" t="s">
        <v>41</v>
      </c>
      <c r="B82" s="96" t="s">
        <v>85</v>
      </c>
      <c r="C82" s="94">
        <v>1</v>
      </c>
      <c r="D82" s="94" t="s">
        <v>60</v>
      </c>
      <c r="E82" s="96" t="s">
        <v>61</v>
      </c>
      <c r="F82" s="96"/>
      <c r="G82" s="97"/>
      <c r="H82" s="98"/>
      <c r="I82" s="55">
        <f>VLOOKUP(C82,'Points Table'!A$3:L$43,IF(A82="A Grade / Juniors",4,IF(A82="B Grade",6,IF(A82="C Grade",8,IF(A82="D Grade",10,12)))))</f>
        <v>500</v>
      </c>
      <c r="T82" s="96"/>
      <c r="U82" s="97"/>
      <c r="V82" s="98"/>
    </row>
    <row r="83" spans="1:22" ht="20" customHeight="1" x14ac:dyDescent="0.2">
      <c r="C83" s="94"/>
      <c r="D83" s="96"/>
      <c r="E83" s="96"/>
    </row>
    <row r="87" spans="1:22" ht="20" customHeight="1" x14ac:dyDescent="0.2">
      <c r="L87" s="96"/>
      <c r="M87" s="97"/>
      <c r="N87" s="98"/>
    </row>
    <row r="88" spans="1:22" ht="20" customHeight="1" x14ac:dyDescent="0.2">
      <c r="L88" s="96"/>
      <c r="M88" s="97"/>
      <c r="N88" s="98"/>
    </row>
  </sheetData>
  <phoneticPr fontId="1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T5" s="81"/>
      <c r="U5" s="81"/>
      <c r="X5" s="96"/>
      <c r="Y5" s="97"/>
      <c r="Z5" s="98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T6" s="81"/>
      <c r="U6" s="81"/>
      <c r="V6" s="81"/>
      <c r="W6" s="81"/>
      <c r="X6" s="96"/>
      <c r="Y6" s="97"/>
      <c r="Z6" s="98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T7" s="81"/>
      <c r="U7" s="81"/>
      <c r="V7" s="81"/>
      <c r="W7" s="81"/>
      <c r="X7" s="96"/>
      <c r="Y7" s="97"/>
      <c r="Z7" s="98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T8" s="81"/>
      <c r="U8" s="81"/>
      <c r="V8" s="81"/>
      <c r="W8" s="81"/>
      <c r="X8" s="96"/>
      <c r="Y8" s="97"/>
      <c r="Z8" s="98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T9" s="81"/>
      <c r="U9" s="81"/>
      <c r="V9" s="81"/>
      <c r="W9" s="81"/>
      <c r="X9" s="96"/>
      <c r="Y9" s="97"/>
      <c r="Z9" s="98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T10" s="81"/>
      <c r="U10" s="81"/>
      <c r="V10" s="81"/>
      <c r="W10" s="81"/>
      <c r="X10" s="96"/>
      <c r="Y10" s="97"/>
      <c r="Z10" s="98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T11" s="81"/>
      <c r="U11" s="81"/>
      <c r="V11" s="81"/>
      <c r="W11" s="81"/>
      <c r="X11" s="96"/>
      <c r="Y11" s="97"/>
      <c r="Z11" s="98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T12" s="81"/>
      <c r="U12" s="81"/>
      <c r="V12" s="81"/>
      <c r="W12" s="81"/>
      <c r="X12" s="96"/>
      <c r="Y12" s="97"/>
      <c r="Z12" s="98"/>
      <c r="AA12" s="81"/>
    </row>
    <row r="13" spans="1:27" ht="20" customHeight="1" x14ac:dyDescent="0.2">
      <c r="A13" s="94" t="s">
        <v>19</v>
      </c>
      <c r="B13" s="96" t="s">
        <v>35</v>
      </c>
      <c r="C13" s="94">
        <v>1</v>
      </c>
      <c r="D13" s="94" t="s">
        <v>60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375</v>
      </c>
      <c r="Q13" s="81"/>
      <c r="R13" s="81"/>
      <c r="U13" s="96"/>
      <c r="V13" s="97"/>
      <c r="W13" s="98"/>
      <c r="Y13" s="97"/>
      <c r="Z13" s="98"/>
    </row>
    <row r="14" spans="1:27" ht="20" customHeight="1" x14ac:dyDescent="0.2">
      <c r="A14" s="94" t="s">
        <v>19</v>
      </c>
      <c r="B14" s="96" t="s">
        <v>35</v>
      </c>
      <c r="C14" s="94">
        <v>2</v>
      </c>
      <c r="D14" s="96" t="s">
        <v>62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337.5</v>
      </c>
      <c r="Q14" s="81"/>
      <c r="R14" s="81"/>
      <c r="S14" s="81"/>
      <c r="T14" s="81"/>
      <c r="U14" s="96"/>
      <c r="V14" s="97"/>
      <c r="W14" s="98"/>
      <c r="X14" s="81"/>
    </row>
    <row r="15" spans="1:27" ht="20" customHeight="1" x14ac:dyDescent="0.2">
      <c r="A15" s="94" t="s">
        <v>19</v>
      </c>
      <c r="B15" s="96" t="s">
        <v>35</v>
      </c>
      <c r="C15" s="94">
        <v>3</v>
      </c>
      <c r="D15" s="94" t="s">
        <v>63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315</v>
      </c>
      <c r="Q15" s="81"/>
      <c r="R15" s="81"/>
      <c r="S15" s="81"/>
      <c r="T15" s="81"/>
      <c r="U15" s="96"/>
      <c r="V15" s="97"/>
      <c r="W15" s="98"/>
      <c r="X15" s="81"/>
    </row>
    <row r="16" spans="1:27" ht="20" customHeight="1" x14ac:dyDescent="0.2">
      <c r="A16" s="94" t="s">
        <v>19</v>
      </c>
      <c r="B16" s="96" t="s">
        <v>35</v>
      </c>
      <c r="C16" s="94">
        <v>4</v>
      </c>
      <c r="D16" s="96" t="s">
        <v>64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  <c r="Q16" s="81"/>
      <c r="R16" s="81"/>
      <c r="S16" s="81"/>
      <c r="T16" s="81"/>
      <c r="U16" s="96"/>
      <c r="V16" s="97"/>
      <c r="W16" s="98"/>
      <c r="X16" s="81"/>
    </row>
    <row r="17" spans="1:25" ht="20" customHeight="1" x14ac:dyDescent="0.2">
      <c r="A17" s="94" t="s">
        <v>19</v>
      </c>
      <c r="B17" s="96" t="s">
        <v>35</v>
      </c>
      <c r="C17" s="94">
        <v>5</v>
      </c>
      <c r="D17" s="94" t="s">
        <v>65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292.5</v>
      </c>
      <c r="Q17" s="81"/>
      <c r="R17" s="81"/>
      <c r="S17" s="81"/>
      <c r="V17" s="96"/>
      <c r="W17" s="97"/>
      <c r="X17" s="98"/>
    </row>
    <row r="18" spans="1:25" ht="20" customHeight="1" x14ac:dyDescent="0.2">
      <c r="A18" s="94" t="s">
        <v>19</v>
      </c>
      <c r="B18" s="96" t="s">
        <v>35</v>
      </c>
      <c r="C18" s="94">
        <v>6</v>
      </c>
      <c r="D18" s="96" t="s">
        <v>66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285</v>
      </c>
      <c r="Q18" s="81"/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7</v>
      </c>
      <c r="D19" s="94" t="s">
        <v>67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277.5</v>
      </c>
      <c r="Q19" s="81"/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8</v>
      </c>
      <c r="D20" s="96" t="s">
        <v>68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270</v>
      </c>
      <c r="Q20" s="81"/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9</v>
      </c>
      <c r="D21" s="94" t="s">
        <v>69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262.5</v>
      </c>
      <c r="Q21" s="81"/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21</v>
      </c>
      <c r="B22" s="96" t="s">
        <v>36</v>
      </c>
      <c r="C22" s="94">
        <v>1</v>
      </c>
      <c r="D22" s="94" t="s">
        <v>60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350</v>
      </c>
      <c r="R22" s="81"/>
      <c r="S22" s="81"/>
      <c r="T22" s="81"/>
      <c r="U22" s="81"/>
      <c r="V22" s="96"/>
      <c r="W22" s="97"/>
      <c r="X22" s="98"/>
      <c r="Y22" s="81"/>
    </row>
    <row r="23" spans="1:25" ht="20" customHeight="1" x14ac:dyDescent="0.2">
      <c r="A23" s="94" t="s">
        <v>21</v>
      </c>
      <c r="B23" s="96" t="s">
        <v>36</v>
      </c>
      <c r="C23" s="94">
        <v>2</v>
      </c>
      <c r="D23" s="96" t="s">
        <v>62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315</v>
      </c>
      <c r="R23" s="81"/>
      <c r="S23" s="81"/>
      <c r="T23" s="81"/>
      <c r="U23" s="81"/>
      <c r="V23" s="96"/>
      <c r="W23" s="97"/>
      <c r="X23" s="98"/>
      <c r="Y23" s="81"/>
    </row>
    <row r="24" spans="1:25" ht="20" customHeight="1" x14ac:dyDescent="0.2">
      <c r="A24" s="94" t="s">
        <v>21</v>
      </c>
      <c r="B24" s="96" t="s">
        <v>36</v>
      </c>
      <c r="C24" s="94">
        <v>3</v>
      </c>
      <c r="D24" s="94" t="s">
        <v>63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294</v>
      </c>
      <c r="R24" s="81"/>
      <c r="S24" s="81"/>
      <c r="T24" s="81"/>
      <c r="U24" s="81"/>
      <c r="V24" s="96"/>
      <c r="W24" s="97"/>
      <c r="X24" s="98"/>
      <c r="Y24" s="81"/>
    </row>
    <row r="25" spans="1:25" ht="20" customHeight="1" x14ac:dyDescent="0.2">
      <c r="A25" s="94" t="s">
        <v>21</v>
      </c>
      <c r="B25" s="96" t="s">
        <v>36</v>
      </c>
      <c r="C25" s="94">
        <v>4</v>
      </c>
      <c r="D25" s="96" t="s">
        <v>64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280</v>
      </c>
      <c r="R25" s="81"/>
      <c r="S25" s="81"/>
      <c r="T25" s="81"/>
      <c r="U25" s="81"/>
      <c r="V25" s="96"/>
      <c r="W25" s="97"/>
      <c r="X25" s="98"/>
      <c r="Y25" s="81"/>
    </row>
    <row r="26" spans="1:25" ht="20" customHeight="1" x14ac:dyDescent="0.2">
      <c r="A26" s="94" t="s">
        <v>21</v>
      </c>
      <c r="B26" s="96" t="s">
        <v>36</v>
      </c>
      <c r="C26" s="94">
        <v>5</v>
      </c>
      <c r="D26" s="94" t="s">
        <v>65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273</v>
      </c>
      <c r="R26" s="81"/>
      <c r="S26" s="81"/>
      <c r="T26" s="81"/>
      <c r="U26" s="81"/>
      <c r="V26" s="96"/>
      <c r="W26" s="97"/>
      <c r="X26" s="98"/>
    </row>
    <row r="27" spans="1:25" ht="20" customHeight="1" x14ac:dyDescent="0.2">
      <c r="A27" s="94" t="s">
        <v>21</v>
      </c>
      <c r="B27" s="96" t="s">
        <v>36</v>
      </c>
      <c r="C27" s="94">
        <v>6</v>
      </c>
      <c r="D27" s="96" t="s">
        <v>66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4" t="s">
        <v>21</v>
      </c>
      <c r="B28" s="96" t="s">
        <v>36</v>
      </c>
      <c r="C28" s="94">
        <v>7</v>
      </c>
      <c r="D28" s="94" t="s">
        <v>67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4" t="s">
        <v>21</v>
      </c>
      <c r="B29" s="96" t="s">
        <v>36</v>
      </c>
      <c r="C29" s="94">
        <v>8</v>
      </c>
      <c r="D29" s="96" t="s">
        <v>68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4" t="s">
        <v>21</v>
      </c>
      <c r="B30" s="96" t="s">
        <v>36</v>
      </c>
      <c r="C30" s="94">
        <v>9</v>
      </c>
      <c r="D30" s="94" t="s">
        <v>69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4" t="s">
        <v>21</v>
      </c>
      <c r="B31" s="96" t="s">
        <v>36</v>
      </c>
      <c r="C31" s="94">
        <v>10</v>
      </c>
      <c r="D31" s="96" t="s">
        <v>70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4" t="s">
        <v>23</v>
      </c>
      <c r="B32" s="96" t="s">
        <v>37</v>
      </c>
      <c r="C32" s="94">
        <v>1</v>
      </c>
      <c r="D32" s="94" t="s">
        <v>60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4" t="s">
        <v>23</v>
      </c>
      <c r="B33" s="96" t="s">
        <v>37</v>
      </c>
      <c r="C33" s="94">
        <v>2</v>
      </c>
      <c r="D33" s="96" t="s">
        <v>62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4" t="s">
        <v>23</v>
      </c>
      <c r="B34" s="96" t="s">
        <v>37</v>
      </c>
      <c r="C34" s="94">
        <v>3</v>
      </c>
      <c r="D34" s="94" t="s">
        <v>63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4" t="s">
        <v>23</v>
      </c>
      <c r="B35" s="96" t="s">
        <v>37</v>
      </c>
      <c r="C35" s="94">
        <v>4</v>
      </c>
      <c r="D35" s="96" t="s">
        <v>64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4" t="s">
        <v>23</v>
      </c>
      <c r="B36" s="96" t="s">
        <v>37</v>
      </c>
      <c r="C36" s="94">
        <v>5</v>
      </c>
      <c r="D36" s="94" t="s">
        <v>65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234</v>
      </c>
      <c r="S36" s="81"/>
      <c r="T36" s="81"/>
      <c r="W36" s="96"/>
      <c r="X36" s="97"/>
      <c r="Y36" s="98"/>
    </row>
    <row r="37" spans="1:26" ht="20" customHeight="1" x14ac:dyDescent="0.2">
      <c r="A37" s="94" t="s">
        <v>23</v>
      </c>
      <c r="B37" s="96" t="s">
        <v>37</v>
      </c>
      <c r="C37" s="94">
        <v>6</v>
      </c>
      <c r="D37" s="96" t="s">
        <v>66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228</v>
      </c>
      <c r="S37" s="81"/>
      <c r="T37" s="81"/>
      <c r="U37" s="81"/>
      <c r="V37" s="81"/>
      <c r="W37" s="96"/>
      <c r="X37" s="97"/>
      <c r="Y37" s="98"/>
      <c r="Z37" s="81"/>
    </row>
    <row r="38" spans="1:26" ht="20" customHeight="1" x14ac:dyDescent="0.2">
      <c r="A38" s="94" t="s">
        <v>23</v>
      </c>
      <c r="B38" s="96" t="s">
        <v>37</v>
      </c>
      <c r="C38" s="94">
        <v>7</v>
      </c>
      <c r="D38" s="94" t="s">
        <v>67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222</v>
      </c>
      <c r="S38" s="81"/>
      <c r="T38" s="81"/>
      <c r="U38" s="81"/>
      <c r="V38" s="81"/>
      <c r="W38" s="96"/>
      <c r="X38" s="97"/>
      <c r="Y38" s="98"/>
      <c r="Z38" s="81"/>
    </row>
    <row r="39" spans="1:26" ht="20" customHeight="1" x14ac:dyDescent="0.2">
      <c r="A39" s="94" t="s">
        <v>23</v>
      </c>
      <c r="B39" s="96" t="s">
        <v>37</v>
      </c>
      <c r="C39" s="94">
        <v>8</v>
      </c>
      <c r="D39" s="96" t="s">
        <v>68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216</v>
      </c>
      <c r="S39" s="81"/>
      <c r="T39" s="81"/>
      <c r="U39" s="81"/>
      <c r="V39" s="81"/>
      <c r="W39" s="96"/>
      <c r="X39" s="97"/>
      <c r="Y39" s="98"/>
      <c r="Z39" s="81"/>
    </row>
    <row r="40" spans="1:26" ht="20" customHeight="1" x14ac:dyDescent="0.2">
      <c r="A40" s="94" t="s">
        <v>19</v>
      </c>
      <c r="B40" s="96" t="s">
        <v>39</v>
      </c>
      <c r="C40" s="94">
        <v>1</v>
      </c>
      <c r="D40" s="94" t="s">
        <v>60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4" t="s">
        <v>21</v>
      </c>
      <c r="B41" s="96" t="s">
        <v>40</v>
      </c>
      <c r="C41" s="94">
        <v>1</v>
      </c>
      <c r="D41" s="94" t="s">
        <v>60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350</v>
      </c>
      <c r="O41" s="81"/>
      <c r="P41" s="81"/>
      <c r="T41" s="81"/>
      <c r="U41" s="96"/>
      <c r="V41" s="97"/>
      <c r="W41" s="98"/>
    </row>
    <row r="42" spans="1:26" ht="20" customHeight="1" x14ac:dyDescent="0.2">
      <c r="A42" s="94" t="s">
        <v>21</v>
      </c>
      <c r="B42" s="96" t="s">
        <v>40</v>
      </c>
      <c r="C42" s="94">
        <v>2</v>
      </c>
      <c r="D42" s="96" t="s">
        <v>62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315</v>
      </c>
      <c r="Q42" s="81"/>
      <c r="R42" s="81"/>
      <c r="S42" s="81"/>
      <c r="T42" s="81"/>
      <c r="U42" s="96"/>
      <c r="V42" s="97"/>
      <c r="W42" s="98"/>
    </row>
    <row r="43" spans="1:26" ht="20" customHeight="1" x14ac:dyDescent="0.2">
      <c r="A43" s="94" t="s">
        <v>23</v>
      </c>
      <c r="B43" s="96" t="s">
        <v>134</v>
      </c>
      <c r="C43" s="94">
        <v>1</v>
      </c>
      <c r="D43" s="94" t="s">
        <v>60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4" t="s">
        <v>41</v>
      </c>
      <c r="B44" s="96" t="s">
        <v>46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4" t="s">
        <v>41</v>
      </c>
      <c r="B45" s="96" t="s">
        <v>46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  <c r="S47" s="81"/>
      <c r="T47" s="81"/>
      <c r="U47" s="81"/>
      <c r="W47" s="81"/>
      <c r="X47" s="81"/>
      <c r="Y47" s="95"/>
    </row>
    <row r="48" spans="1:26" ht="20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  <c r="S48" s="81"/>
      <c r="T48" s="81"/>
      <c r="U48" s="81"/>
      <c r="V48" s="81"/>
      <c r="W48" s="81"/>
      <c r="X48" s="81"/>
      <c r="Y48" s="95"/>
      <c r="Z48" s="81"/>
    </row>
    <row r="49" spans="1:26" ht="20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  <c r="S49" s="81"/>
      <c r="T49" s="81"/>
      <c r="U49" s="81"/>
      <c r="V49" s="81"/>
      <c r="W49" s="81"/>
      <c r="X49" s="81"/>
      <c r="Y49" s="95"/>
      <c r="Z49" s="81"/>
    </row>
    <row r="50" spans="1:26" ht="20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  <c r="S50" s="81"/>
      <c r="T50" s="81"/>
      <c r="U50" s="81"/>
      <c r="V50" s="81"/>
      <c r="W50" s="81"/>
      <c r="X50" s="81"/>
      <c r="Y50" s="95"/>
      <c r="Z50" s="81"/>
    </row>
    <row r="51" spans="1:26" ht="20" customHeight="1" x14ac:dyDescent="0.2">
      <c r="A51" s="94" t="s">
        <v>41</v>
      </c>
      <c r="B51" s="96" t="s">
        <v>47</v>
      </c>
      <c r="C51" s="94">
        <v>6</v>
      </c>
      <c r="D51" s="96" t="s">
        <v>66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380</v>
      </c>
      <c r="S51" s="81"/>
      <c r="T51" s="81"/>
      <c r="U51" s="81"/>
      <c r="V51" s="81"/>
      <c r="W51" s="81"/>
      <c r="X51" s="81"/>
      <c r="Y51" s="95"/>
      <c r="Z51" s="81"/>
    </row>
    <row r="52" spans="1:26" ht="20" customHeight="1" x14ac:dyDescent="0.2">
      <c r="A52" s="94" t="s">
        <v>41</v>
      </c>
      <c r="B52" s="96" t="s">
        <v>47</v>
      </c>
      <c r="C52" s="94">
        <v>7</v>
      </c>
      <c r="D52" s="94" t="s">
        <v>67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370</v>
      </c>
      <c r="S52" s="81"/>
      <c r="T52" s="81"/>
      <c r="U52" s="81"/>
      <c r="V52" s="81"/>
      <c r="W52" s="81"/>
      <c r="X52" s="81"/>
      <c r="Y52" s="95"/>
      <c r="Z52" s="81"/>
    </row>
    <row r="53" spans="1:26" ht="20" customHeight="1" x14ac:dyDescent="0.2">
      <c r="A53" s="94" t="s">
        <v>41</v>
      </c>
      <c r="B53" s="96" t="s">
        <v>85</v>
      </c>
      <c r="C53" s="94">
        <v>1</v>
      </c>
      <c r="D53" s="94" t="s">
        <v>60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1"/>
      <c r="T55" s="96"/>
      <c r="U55" s="97"/>
      <c r="V55" s="98"/>
    </row>
    <row r="56" spans="1:26" ht="20" customHeight="1" x14ac:dyDescent="0.2">
      <c r="P56" s="81"/>
      <c r="Q56" s="81"/>
      <c r="R56" s="81"/>
      <c r="S56" s="81"/>
      <c r="T56" s="96"/>
      <c r="U56" s="97"/>
      <c r="V56" s="98"/>
    </row>
    <row r="62" spans="1:26" ht="20" customHeight="1" x14ac:dyDescent="0.2">
      <c r="K62" s="81"/>
      <c r="L62" s="81"/>
      <c r="M62" s="9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M2" s="81"/>
      <c r="N2" s="81"/>
      <c r="O2" s="81"/>
    </row>
    <row r="3" spans="1:31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M3" s="81"/>
      <c r="N3" s="81"/>
      <c r="O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106"/>
    </row>
    <row r="4" spans="1:31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106"/>
      <c r="AE4" s="81"/>
    </row>
    <row r="5" spans="1:31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106"/>
      <c r="AE5" s="81"/>
    </row>
    <row r="6" spans="1:31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106"/>
      <c r="AE6" s="81"/>
    </row>
    <row r="7" spans="1:31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106"/>
      <c r="AE7" s="81"/>
    </row>
    <row r="8" spans="1:31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M8" s="81"/>
      <c r="N8" s="81"/>
      <c r="O8" s="81"/>
      <c r="P8" s="81"/>
    </row>
    <row r="9" spans="1:31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M9" s="81"/>
      <c r="N9" s="81"/>
      <c r="O9" s="81"/>
    </row>
    <row r="10" spans="1:31" ht="20" customHeight="1" x14ac:dyDescent="0.2">
      <c r="A10" s="94" t="s">
        <v>19</v>
      </c>
      <c r="B10" s="96" t="s">
        <v>35</v>
      </c>
      <c r="C10" s="94">
        <v>1</v>
      </c>
      <c r="D10" s="94" t="s">
        <v>60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375</v>
      </c>
      <c r="P10" s="81"/>
      <c r="Q10" s="81"/>
      <c r="R10" s="81"/>
      <c r="S10" s="81"/>
      <c r="T10" s="81"/>
      <c r="U10" s="81"/>
      <c r="V10" s="81"/>
      <c r="W10" s="81"/>
      <c r="X10" s="106"/>
      <c r="Y10" s="81"/>
      <c r="Z10" s="81"/>
      <c r="AA10" s="81"/>
      <c r="AB10" s="81"/>
    </row>
    <row r="11" spans="1:31" ht="20" customHeight="1" x14ac:dyDescent="0.2">
      <c r="A11" s="94" t="s">
        <v>19</v>
      </c>
      <c r="B11" s="96" t="s">
        <v>35</v>
      </c>
      <c r="C11" s="94">
        <v>2</v>
      </c>
      <c r="D11" s="96" t="s">
        <v>62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337.5</v>
      </c>
      <c r="P11" s="81"/>
      <c r="Q11" s="81"/>
      <c r="R11" s="81"/>
      <c r="S11" s="81"/>
      <c r="T11" s="81"/>
      <c r="U11" s="81"/>
      <c r="V11" s="81"/>
      <c r="W11" s="81"/>
      <c r="X11" s="106"/>
      <c r="Y11" s="81"/>
      <c r="Z11" s="81"/>
      <c r="AA11" s="81"/>
      <c r="AB11" s="81"/>
    </row>
    <row r="12" spans="1:31" ht="20" customHeight="1" x14ac:dyDescent="0.2">
      <c r="A12" s="94" t="s">
        <v>19</v>
      </c>
      <c r="B12" s="96" t="s">
        <v>35</v>
      </c>
      <c r="C12" s="94">
        <v>3</v>
      </c>
      <c r="D12" s="94" t="s">
        <v>63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315</v>
      </c>
      <c r="P12" s="81"/>
      <c r="Q12" s="81"/>
      <c r="R12" s="81"/>
      <c r="S12" s="81"/>
      <c r="T12" s="81"/>
      <c r="U12" s="81"/>
      <c r="V12" s="81"/>
      <c r="W12" s="81"/>
      <c r="X12" s="106"/>
      <c r="Y12" s="81"/>
      <c r="Z12" s="81"/>
      <c r="AA12" s="81"/>
      <c r="AB12" s="81"/>
    </row>
    <row r="13" spans="1:31" ht="20" customHeight="1" x14ac:dyDescent="0.2">
      <c r="A13" s="94" t="s">
        <v>19</v>
      </c>
      <c r="B13" s="96" t="s">
        <v>35</v>
      </c>
      <c r="C13" s="94">
        <v>4</v>
      </c>
      <c r="D13" s="96" t="s">
        <v>64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300</v>
      </c>
      <c r="P13" s="81"/>
      <c r="Q13" s="81"/>
      <c r="R13" s="81"/>
      <c r="S13" s="81"/>
      <c r="T13" s="81"/>
      <c r="U13" s="81"/>
      <c r="V13" s="81"/>
      <c r="W13" s="81"/>
      <c r="X13" s="106"/>
      <c r="Y13" s="81"/>
      <c r="Z13" s="81"/>
      <c r="AA13" s="81"/>
      <c r="AB13" s="81"/>
    </row>
    <row r="14" spans="1:31" ht="20" customHeight="1" x14ac:dyDescent="0.2">
      <c r="A14" s="94" t="s">
        <v>19</v>
      </c>
      <c r="B14" s="96" t="s">
        <v>35</v>
      </c>
      <c r="C14" s="94">
        <v>5</v>
      </c>
      <c r="D14" s="94" t="s">
        <v>65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292.5</v>
      </c>
      <c r="P14" s="81"/>
      <c r="Q14" s="81"/>
      <c r="R14" s="81"/>
      <c r="S14" s="81"/>
      <c r="T14" s="81"/>
      <c r="U14" s="81"/>
      <c r="V14" s="81"/>
      <c r="W14" s="81"/>
      <c r="X14" s="106"/>
      <c r="Y14" s="81"/>
      <c r="Z14" s="81"/>
      <c r="AA14" s="81"/>
      <c r="AB14" s="81"/>
    </row>
    <row r="15" spans="1:31" ht="20" customHeight="1" x14ac:dyDescent="0.2">
      <c r="A15" s="94" t="s">
        <v>19</v>
      </c>
      <c r="B15" s="96" t="s">
        <v>35</v>
      </c>
      <c r="C15" s="94">
        <v>6</v>
      </c>
      <c r="D15" s="96" t="s">
        <v>66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285</v>
      </c>
      <c r="P15" s="81"/>
      <c r="Q15" s="81"/>
      <c r="R15" s="81"/>
      <c r="S15" s="81"/>
      <c r="T15" s="81"/>
      <c r="U15" s="81"/>
      <c r="V15" s="81"/>
      <c r="W15" s="81"/>
      <c r="X15" s="106"/>
      <c r="Y15" s="81"/>
      <c r="Z15" s="81"/>
      <c r="AA15" s="81"/>
      <c r="AB15" s="81"/>
    </row>
    <row r="16" spans="1:31" ht="20" customHeight="1" x14ac:dyDescent="0.2">
      <c r="A16" s="94" t="s">
        <v>19</v>
      </c>
      <c r="B16" s="96" t="s">
        <v>35</v>
      </c>
      <c r="C16" s="94">
        <v>7</v>
      </c>
      <c r="D16" s="94" t="s">
        <v>67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277.5</v>
      </c>
      <c r="P16" s="81"/>
      <c r="Q16" s="81"/>
      <c r="R16" s="81"/>
      <c r="S16" s="81"/>
      <c r="T16" s="81"/>
      <c r="U16" s="81"/>
      <c r="V16" s="81"/>
      <c r="W16" s="81"/>
      <c r="X16" s="106"/>
      <c r="Y16" s="81"/>
      <c r="Z16" s="81"/>
      <c r="AA16" s="81"/>
      <c r="AB16" s="81"/>
    </row>
    <row r="17" spans="1:29" ht="20" customHeight="1" x14ac:dyDescent="0.2">
      <c r="A17" s="94" t="s">
        <v>19</v>
      </c>
      <c r="B17" s="96" t="s">
        <v>35</v>
      </c>
      <c r="C17" s="94">
        <v>8</v>
      </c>
      <c r="D17" s="96" t="s">
        <v>68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P17" s="81"/>
      <c r="Q17" s="81"/>
      <c r="R17" s="81"/>
      <c r="S17" s="81"/>
      <c r="T17" s="81"/>
      <c r="U17" s="81"/>
      <c r="V17" s="81"/>
      <c r="W17" s="81"/>
      <c r="X17" s="106"/>
      <c r="Y17" s="81"/>
      <c r="Z17" s="81"/>
      <c r="AA17" s="81"/>
      <c r="AB17" s="81"/>
    </row>
    <row r="18" spans="1:29" ht="20" customHeight="1" x14ac:dyDescent="0.2">
      <c r="A18" s="94" t="s">
        <v>19</v>
      </c>
      <c r="B18" s="96" t="s">
        <v>35</v>
      </c>
      <c r="C18" s="94">
        <v>9</v>
      </c>
      <c r="D18" s="94" t="s">
        <v>69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262.5</v>
      </c>
      <c r="P18" s="81"/>
      <c r="Q18" s="81"/>
      <c r="R18" s="81"/>
      <c r="S18" s="81"/>
      <c r="T18" s="81"/>
      <c r="U18" s="81"/>
      <c r="V18" s="81"/>
      <c r="W18" s="81"/>
      <c r="X18" s="106"/>
      <c r="Y18" s="81"/>
      <c r="Z18" s="81"/>
      <c r="AA18" s="81"/>
      <c r="AB18" s="81"/>
    </row>
    <row r="19" spans="1:29" ht="20" customHeight="1" x14ac:dyDescent="0.2">
      <c r="A19" s="94" t="s">
        <v>19</v>
      </c>
      <c r="B19" s="96" t="s">
        <v>35</v>
      </c>
      <c r="C19" s="94">
        <v>10</v>
      </c>
      <c r="D19" s="96" t="s">
        <v>70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255</v>
      </c>
      <c r="P19" s="81"/>
      <c r="Q19" s="81"/>
      <c r="R19" s="81"/>
      <c r="S19" s="81"/>
      <c r="T19" s="81"/>
      <c r="U19" s="81"/>
      <c r="V19" s="81"/>
      <c r="W19" s="81"/>
      <c r="X19" s="106"/>
      <c r="Y19" s="81"/>
      <c r="Z19" s="81"/>
      <c r="AA19" s="81"/>
      <c r="AB19" s="81"/>
    </row>
    <row r="20" spans="1:29" ht="20" customHeight="1" x14ac:dyDescent="0.2">
      <c r="A20" s="94" t="s">
        <v>19</v>
      </c>
      <c r="B20" s="96" t="s">
        <v>35</v>
      </c>
      <c r="C20" s="94">
        <v>11</v>
      </c>
      <c r="D20" s="94" t="s">
        <v>71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247.5</v>
      </c>
      <c r="P20" s="81"/>
      <c r="Q20" s="81"/>
      <c r="R20" s="81"/>
      <c r="S20" s="81"/>
      <c r="T20" s="81"/>
      <c r="U20" s="81"/>
      <c r="V20" s="81"/>
      <c r="W20" s="81"/>
      <c r="X20" s="106"/>
      <c r="Y20" s="81"/>
      <c r="Z20" s="81"/>
      <c r="AA20" s="81"/>
      <c r="AB20" s="81"/>
    </row>
    <row r="21" spans="1:29" ht="20" customHeight="1" x14ac:dyDescent="0.2">
      <c r="A21" s="94" t="s">
        <v>19</v>
      </c>
      <c r="B21" s="96" t="s">
        <v>35</v>
      </c>
      <c r="C21" s="94">
        <v>12</v>
      </c>
      <c r="D21" s="96" t="s">
        <v>72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240</v>
      </c>
      <c r="P21" s="81"/>
      <c r="Q21" s="81"/>
      <c r="R21" s="81"/>
      <c r="S21" s="81"/>
      <c r="T21" s="81"/>
      <c r="U21" s="81"/>
      <c r="V21" s="81"/>
      <c r="W21" s="81"/>
      <c r="X21" s="106"/>
      <c r="Y21" s="81"/>
      <c r="Z21" s="81"/>
      <c r="AA21" s="81"/>
      <c r="AB21" s="81"/>
    </row>
    <row r="22" spans="1:29" ht="20" customHeight="1" x14ac:dyDescent="0.2">
      <c r="A22" s="94" t="s">
        <v>19</v>
      </c>
      <c r="B22" s="96" t="s">
        <v>35</v>
      </c>
      <c r="C22" s="94">
        <v>13</v>
      </c>
      <c r="D22" s="94" t="s">
        <v>73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232.5</v>
      </c>
      <c r="P22" s="81"/>
      <c r="Q22" s="81"/>
      <c r="R22" s="81"/>
      <c r="S22" s="81"/>
      <c r="T22" s="81"/>
      <c r="U22" s="81"/>
      <c r="V22" s="81"/>
      <c r="W22" s="81"/>
      <c r="X22" s="106"/>
      <c r="Y22" s="81"/>
      <c r="Z22" s="81"/>
      <c r="AA22" s="81"/>
      <c r="AB22" s="81"/>
    </row>
    <row r="23" spans="1:29" ht="20" customHeight="1" x14ac:dyDescent="0.2">
      <c r="A23" s="94" t="s">
        <v>19</v>
      </c>
      <c r="B23" s="96" t="s">
        <v>35</v>
      </c>
      <c r="C23" s="94">
        <v>14</v>
      </c>
      <c r="D23" s="96" t="s">
        <v>74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225</v>
      </c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106"/>
    </row>
    <row r="24" spans="1:29" ht="20" customHeight="1" x14ac:dyDescent="0.2">
      <c r="A24" s="94" t="s">
        <v>19</v>
      </c>
      <c r="B24" s="96" t="s">
        <v>35</v>
      </c>
      <c r="C24" s="94">
        <v>15</v>
      </c>
      <c r="D24" s="94" t="s">
        <v>75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217.5</v>
      </c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106"/>
      <c r="AC24" s="81"/>
    </row>
    <row r="25" spans="1:29" ht="20" customHeight="1" x14ac:dyDescent="0.2">
      <c r="A25" s="94" t="s">
        <v>21</v>
      </c>
      <c r="B25" s="96" t="s">
        <v>36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350</v>
      </c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106"/>
      <c r="AC25" s="81"/>
    </row>
    <row r="26" spans="1:29" ht="20" customHeight="1" x14ac:dyDescent="0.2">
      <c r="A26" s="94" t="s">
        <v>21</v>
      </c>
      <c r="B26" s="96" t="s">
        <v>36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315</v>
      </c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106"/>
    </row>
    <row r="27" spans="1:29" ht="20" customHeight="1" x14ac:dyDescent="0.2">
      <c r="A27" s="94" t="s">
        <v>21</v>
      </c>
      <c r="B27" s="96" t="s">
        <v>36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294</v>
      </c>
      <c r="Q27" s="98"/>
      <c r="R27" s="81"/>
      <c r="S27" s="81"/>
      <c r="T27" s="81"/>
      <c r="U27" s="81"/>
      <c r="V27" s="81"/>
      <c r="W27" s="81"/>
    </row>
    <row r="28" spans="1:29" ht="20" customHeight="1" x14ac:dyDescent="0.2">
      <c r="A28" s="94" t="s">
        <v>21</v>
      </c>
      <c r="B28" s="96" t="s">
        <v>36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280</v>
      </c>
      <c r="Q28" s="98"/>
      <c r="R28" s="81"/>
      <c r="S28" s="81"/>
      <c r="T28" s="81"/>
      <c r="U28" s="81"/>
      <c r="V28" s="81"/>
      <c r="W28" s="81"/>
    </row>
    <row r="29" spans="1:29" ht="20" customHeight="1" x14ac:dyDescent="0.2">
      <c r="A29" s="94" t="s">
        <v>21</v>
      </c>
      <c r="B29" s="96" t="s">
        <v>36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273</v>
      </c>
      <c r="Q29" s="98"/>
    </row>
    <row r="30" spans="1:29" ht="20" customHeight="1" x14ac:dyDescent="0.2">
      <c r="A30" s="94" t="s">
        <v>21</v>
      </c>
      <c r="B30" s="96" t="s">
        <v>36</v>
      </c>
      <c r="C30" s="94">
        <v>6</v>
      </c>
      <c r="D30" s="96" t="s">
        <v>66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4" t="s">
        <v>21</v>
      </c>
      <c r="B31" s="96" t="s">
        <v>36</v>
      </c>
      <c r="C31" s="94">
        <v>7</v>
      </c>
      <c r="D31" s="94" t="s">
        <v>67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4" t="s">
        <v>21</v>
      </c>
      <c r="B32" s="96" t="s">
        <v>36</v>
      </c>
      <c r="C32" s="94">
        <v>8</v>
      </c>
      <c r="D32" s="96" t="s">
        <v>68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4" t="s">
        <v>21</v>
      </c>
      <c r="B33" s="96" t="s">
        <v>36</v>
      </c>
      <c r="C33" s="94">
        <v>9</v>
      </c>
      <c r="D33" s="94" t="s">
        <v>69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244.99999999999997</v>
      </c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106"/>
      <c r="AD33" s="81"/>
    </row>
    <row r="34" spans="1:30" ht="20" customHeight="1" x14ac:dyDescent="0.2">
      <c r="A34" s="94" t="s">
        <v>21</v>
      </c>
      <c r="B34" s="96" t="s">
        <v>36</v>
      </c>
      <c r="C34" s="94">
        <v>10</v>
      </c>
      <c r="D34" s="96" t="s">
        <v>70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237.99999999999997</v>
      </c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106"/>
      <c r="AD34" s="81"/>
    </row>
    <row r="35" spans="1:30" ht="20" customHeight="1" x14ac:dyDescent="0.2">
      <c r="A35" s="94" t="s">
        <v>21</v>
      </c>
      <c r="B35" s="96" t="s">
        <v>36</v>
      </c>
      <c r="C35" s="94">
        <v>11</v>
      </c>
      <c r="D35" s="94" t="s">
        <v>71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230.99999999999997</v>
      </c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106"/>
      <c r="AD35" s="81"/>
    </row>
    <row r="36" spans="1:30" ht="20" customHeight="1" x14ac:dyDescent="0.2">
      <c r="A36" s="94" t="s">
        <v>21</v>
      </c>
      <c r="B36" s="96" t="s">
        <v>36</v>
      </c>
      <c r="C36" s="94">
        <v>12</v>
      </c>
      <c r="D36" s="96" t="s">
        <v>72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224</v>
      </c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106"/>
      <c r="AD36" s="81"/>
    </row>
    <row r="37" spans="1:30" ht="20" customHeight="1" x14ac:dyDescent="0.2">
      <c r="A37" s="94" t="s">
        <v>21</v>
      </c>
      <c r="B37" s="96" t="s">
        <v>36</v>
      </c>
      <c r="C37" s="94">
        <v>13</v>
      </c>
      <c r="D37" s="94" t="s">
        <v>73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217</v>
      </c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106"/>
    </row>
    <row r="38" spans="1:30" ht="20" customHeight="1" x14ac:dyDescent="0.2">
      <c r="A38" s="94" t="s">
        <v>21</v>
      </c>
      <c r="B38" s="96" t="s">
        <v>36</v>
      </c>
      <c r="C38" s="94">
        <v>14</v>
      </c>
      <c r="D38" s="96" t="s">
        <v>74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4" t="s">
        <v>21</v>
      </c>
      <c r="B39" s="96" t="s">
        <v>36</v>
      </c>
      <c r="C39" s="94">
        <v>15</v>
      </c>
      <c r="D39" s="94" t="s">
        <v>75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4" t="s">
        <v>21</v>
      </c>
      <c r="B40" s="96" t="s">
        <v>36</v>
      </c>
      <c r="C40" s="94">
        <v>16</v>
      </c>
      <c r="D40" s="96" t="s">
        <v>76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4" t="s">
        <v>21</v>
      </c>
      <c r="B41" s="96" t="s">
        <v>36</v>
      </c>
      <c r="C41" s="94">
        <v>17</v>
      </c>
      <c r="D41" s="94" t="s">
        <v>79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4" t="s">
        <v>21</v>
      </c>
      <c r="B42" s="96" t="s">
        <v>36</v>
      </c>
      <c r="C42" s="94">
        <v>18</v>
      </c>
      <c r="D42" s="96" t="s">
        <v>80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4" t="s">
        <v>21</v>
      </c>
      <c r="B43" s="96" t="s">
        <v>36</v>
      </c>
      <c r="C43" s="94">
        <v>19</v>
      </c>
      <c r="D43" s="94" t="s">
        <v>81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4" t="s">
        <v>21</v>
      </c>
      <c r="B44" s="96" t="s">
        <v>36</v>
      </c>
      <c r="C44" s="94">
        <v>20</v>
      </c>
      <c r="D44" s="96" t="s">
        <v>82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4" t="s">
        <v>21</v>
      </c>
      <c r="B45" s="96" t="s">
        <v>36</v>
      </c>
      <c r="C45" s="94">
        <v>21</v>
      </c>
      <c r="D45" s="94" t="s">
        <v>83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4" t="s">
        <v>21</v>
      </c>
      <c r="B46" s="96" t="s">
        <v>36</v>
      </c>
      <c r="C46" s="94">
        <v>22</v>
      </c>
      <c r="D46" s="96" t="s">
        <v>84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4" t="s">
        <v>23</v>
      </c>
      <c r="B47" s="96" t="s">
        <v>37</v>
      </c>
      <c r="C47" s="94">
        <v>1</v>
      </c>
      <c r="D47" s="94" t="s">
        <v>60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4" t="s">
        <v>23</v>
      </c>
      <c r="B48" s="96" t="s">
        <v>37</v>
      </c>
      <c r="C48" s="94">
        <v>2</v>
      </c>
      <c r="D48" s="96" t="s">
        <v>62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4" t="s">
        <v>23</v>
      </c>
      <c r="B49" s="96" t="s">
        <v>37</v>
      </c>
      <c r="C49" s="94">
        <v>3</v>
      </c>
      <c r="D49" s="94" t="s">
        <v>63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4" t="s">
        <v>23</v>
      </c>
      <c r="B50" s="96" t="s">
        <v>37</v>
      </c>
      <c r="C50" s="94">
        <v>4</v>
      </c>
      <c r="D50" s="96" t="s">
        <v>64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4" t="s">
        <v>23</v>
      </c>
      <c r="B51" s="96" t="s">
        <v>37</v>
      </c>
      <c r="C51" s="94">
        <v>5</v>
      </c>
      <c r="D51" s="94" t="s">
        <v>65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234</v>
      </c>
      <c r="Q51" s="97"/>
      <c r="R51" s="98"/>
      <c r="S51" s="98"/>
      <c r="T51" s="98"/>
      <c r="U51" s="98"/>
      <c r="V51" s="98"/>
      <c r="W51" s="98"/>
    </row>
    <row r="52" spans="1:25" ht="20" customHeight="1" x14ac:dyDescent="0.2">
      <c r="A52" s="94" t="s">
        <v>59</v>
      </c>
      <c r="B52" s="96" t="s">
        <v>38</v>
      </c>
      <c r="C52" s="94">
        <v>1</v>
      </c>
      <c r="D52" s="94" t="s">
        <v>60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500</v>
      </c>
      <c r="R52" s="81"/>
      <c r="S52" s="81"/>
      <c r="T52" s="81"/>
      <c r="U52" s="81"/>
      <c r="V52" s="81"/>
      <c r="W52" s="81"/>
      <c r="X52" s="106"/>
      <c r="Y52" s="81"/>
    </row>
    <row r="53" spans="1:25" ht="20" customHeight="1" x14ac:dyDescent="0.2">
      <c r="A53" s="94" t="s">
        <v>59</v>
      </c>
      <c r="B53" s="96" t="s">
        <v>38</v>
      </c>
      <c r="C53" s="94">
        <v>2</v>
      </c>
      <c r="D53" s="96" t="s">
        <v>62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450</v>
      </c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106"/>
      <c r="Y53" s="81"/>
    </row>
    <row r="54" spans="1:25" ht="20" customHeight="1" x14ac:dyDescent="0.2">
      <c r="A54" s="94" t="s">
        <v>59</v>
      </c>
      <c r="B54" s="96" t="s">
        <v>38</v>
      </c>
      <c r="C54" s="94">
        <v>3</v>
      </c>
      <c r="D54" s="94" t="s">
        <v>63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420</v>
      </c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106"/>
      <c r="Y54" s="81"/>
    </row>
    <row r="55" spans="1:25" ht="20" customHeight="1" x14ac:dyDescent="0.2">
      <c r="A55" s="94" t="s">
        <v>59</v>
      </c>
      <c r="B55" s="96" t="s">
        <v>38</v>
      </c>
      <c r="C55" s="94">
        <v>4</v>
      </c>
      <c r="D55" s="96" t="s">
        <v>64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400</v>
      </c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106"/>
      <c r="Y55" s="81"/>
    </row>
    <row r="56" spans="1:25" ht="20" customHeight="1" x14ac:dyDescent="0.2">
      <c r="A56" s="94" t="s">
        <v>59</v>
      </c>
      <c r="B56" s="96" t="s">
        <v>38</v>
      </c>
      <c r="C56" s="94">
        <v>5</v>
      </c>
      <c r="D56" s="94" t="s">
        <v>65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390</v>
      </c>
      <c r="O56" s="81"/>
      <c r="P56" s="81"/>
      <c r="Q56" s="81"/>
      <c r="R56" s="81"/>
      <c r="S56" s="81"/>
      <c r="T56" s="81"/>
      <c r="U56" s="81"/>
      <c r="V56" s="81"/>
      <c r="W56" s="81"/>
      <c r="X56" s="106"/>
      <c r="Y56" s="81"/>
    </row>
    <row r="57" spans="1:25" ht="20" customHeight="1" x14ac:dyDescent="0.2">
      <c r="A57" s="94" t="s">
        <v>19</v>
      </c>
      <c r="B57" s="96" t="s">
        <v>39</v>
      </c>
      <c r="C57" s="94">
        <v>1</v>
      </c>
      <c r="D57" s="94" t="s">
        <v>60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375</v>
      </c>
      <c r="O57" s="81"/>
      <c r="P57" s="81"/>
      <c r="Q57" s="81"/>
      <c r="R57" s="81"/>
      <c r="S57" s="81"/>
      <c r="T57" s="81"/>
      <c r="U57" s="81"/>
      <c r="V57" s="81"/>
      <c r="W57" s="81"/>
      <c r="X57" s="106"/>
    </row>
    <row r="58" spans="1:25" ht="20" customHeight="1" x14ac:dyDescent="0.2">
      <c r="A58" s="94" t="s">
        <v>19</v>
      </c>
      <c r="B58" s="96" t="s">
        <v>39</v>
      </c>
      <c r="C58" s="94">
        <v>2</v>
      </c>
      <c r="D58" s="96" t="s">
        <v>62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4" t="s">
        <v>19</v>
      </c>
      <c r="B59" s="96" t="s">
        <v>39</v>
      </c>
      <c r="C59" s="94">
        <v>3</v>
      </c>
      <c r="D59" s="94" t="s">
        <v>63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4" t="s">
        <v>19</v>
      </c>
      <c r="B60" s="96" t="s">
        <v>39</v>
      </c>
      <c r="C60" s="94">
        <v>4</v>
      </c>
      <c r="D60" s="96" t="s">
        <v>64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4" t="s">
        <v>21</v>
      </c>
      <c r="B61" s="96" t="s">
        <v>40</v>
      </c>
      <c r="C61" s="94">
        <v>1</v>
      </c>
      <c r="D61" s="94" t="s">
        <v>60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350</v>
      </c>
      <c r="O61" s="81"/>
      <c r="P61" s="81"/>
    </row>
    <row r="62" spans="1:25" ht="20" customHeight="1" x14ac:dyDescent="0.2">
      <c r="A62" s="94" t="s">
        <v>21</v>
      </c>
      <c r="B62" s="96" t="s">
        <v>40</v>
      </c>
      <c r="C62" s="94">
        <v>2</v>
      </c>
      <c r="D62" s="96" t="s">
        <v>62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4" t="s">
        <v>41</v>
      </c>
      <c r="B63" s="96" t="s">
        <v>45</v>
      </c>
      <c r="C63" s="94">
        <v>1</v>
      </c>
      <c r="D63" s="94" t="s">
        <v>60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4" t="s">
        <v>41</v>
      </c>
      <c r="B64" s="96" t="s">
        <v>46</v>
      </c>
      <c r="C64" s="94">
        <v>1</v>
      </c>
      <c r="D64" s="94" t="s">
        <v>60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4" t="s">
        <v>41</v>
      </c>
      <c r="B65" s="96" t="s">
        <v>46</v>
      </c>
      <c r="C65" s="94">
        <v>2</v>
      </c>
      <c r="D65" s="96" t="s">
        <v>62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4" t="s">
        <v>41</v>
      </c>
      <c r="B66" s="96" t="s">
        <v>46</v>
      </c>
      <c r="C66" s="94">
        <v>3</v>
      </c>
      <c r="D66" s="94" t="s">
        <v>63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4" t="s">
        <v>41</v>
      </c>
      <c r="B67" s="96" t="s">
        <v>46</v>
      </c>
      <c r="C67" s="94">
        <v>4</v>
      </c>
      <c r="D67" s="96" t="s">
        <v>64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4" t="s">
        <v>41</v>
      </c>
      <c r="B68" s="96" t="s">
        <v>47</v>
      </c>
      <c r="C68" s="94">
        <v>1</v>
      </c>
      <c r="D68" s="94" t="s">
        <v>60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4" t="s">
        <v>41</v>
      </c>
      <c r="B69" s="96" t="s">
        <v>47</v>
      </c>
      <c r="C69" s="94">
        <v>2</v>
      </c>
      <c r="D69" s="96" t="s">
        <v>62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450</v>
      </c>
      <c r="Q69" s="81"/>
      <c r="R69" s="95"/>
      <c r="S69" s="95"/>
      <c r="T69" s="95"/>
      <c r="U69" s="95"/>
      <c r="V69" s="95"/>
      <c r="W69" s="95"/>
    </row>
    <row r="70" spans="1:24" ht="20" customHeight="1" x14ac:dyDescent="0.2">
      <c r="A70" s="94" t="s">
        <v>41</v>
      </c>
      <c r="B70" s="96" t="s">
        <v>47</v>
      </c>
      <c r="C70" s="94">
        <v>3</v>
      </c>
      <c r="D70" s="94" t="s">
        <v>63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420</v>
      </c>
      <c r="Q70" s="81"/>
      <c r="R70" s="95"/>
      <c r="S70" s="95"/>
      <c r="T70" s="95"/>
      <c r="U70" s="95"/>
      <c r="V70" s="95"/>
      <c r="W70" s="95"/>
      <c r="X70" s="81"/>
    </row>
    <row r="71" spans="1:24" ht="20" customHeight="1" x14ac:dyDescent="0.2">
      <c r="A71" s="94" t="s">
        <v>41</v>
      </c>
      <c r="B71" s="96" t="s">
        <v>47</v>
      </c>
      <c r="C71" s="94">
        <v>4</v>
      </c>
      <c r="D71" s="96" t="s">
        <v>64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400</v>
      </c>
      <c r="Q71" s="81"/>
      <c r="R71" s="95"/>
      <c r="S71" s="95"/>
      <c r="T71" s="95"/>
      <c r="U71" s="95"/>
      <c r="V71" s="95"/>
      <c r="W71" s="95"/>
      <c r="X71" s="81"/>
    </row>
    <row r="72" spans="1:24" ht="20" customHeight="1" x14ac:dyDescent="0.2">
      <c r="A72" s="94" t="s">
        <v>41</v>
      </c>
      <c r="B72" s="96" t="s">
        <v>47</v>
      </c>
      <c r="C72" s="94">
        <v>5</v>
      </c>
      <c r="D72" s="94" t="s">
        <v>65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390</v>
      </c>
      <c r="Q72" s="81"/>
      <c r="R72" s="95"/>
      <c r="S72" s="95"/>
      <c r="T72" s="95"/>
      <c r="U72" s="95"/>
      <c r="V72" s="95"/>
      <c r="W72" s="95"/>
      <c r="X72" s="81"/>
    </row>
    <row r="73" spans="1:24" ht="20" customHeight="1" x14ac:dyDescent="0.2">
      <c r="A73" s="94" t="s">
        <v>41</v>
      </c>
      <c r="B73" s="96" t="s">
        <v>47</v>
      </c>
      <c r="C73" s="94">
        <v>6</v>
      </c>
      <c r="D73" s="96" t="s">
        <v>66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380</v>
      </c>
      <c r="Q73" s="81"/>
      <c r="R73" s="95"/>
      <c r="S73" s="95"/>
      <c r="T73" s="95"/>
      <c r="U73" s="95"/>
      <c r="V73" s="95"/>
      <c r="W73" s="95"/>
      <c r="X73" s="81"/>
    </row>
    <row r="74" spans="1:24" ht="20" customHeight="1" x14ac:dyDescent="0.2">
      <c r="A74" s="94" t="s">
        <v>41</v>
      </c>
      <c r="B74" s="96" t="s">
        <v>48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4" t="s">
        <v>41</v>
      </c>
      <c r="B75" s="96" t="s">
        <v>48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4" t="s">
        <v>41</v>
      </c>
      <c r="B76" s="96" t="s">
        <v>86</v>
      </c>
      <c r="C76" s="94">
        <v>1</v>
      </c>
      <c r="D76" s="94" t="s">
        <v>60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4" t="s">
        <v>41</v>
      </c>
      <c r="B77" s="96" t="s">
        <v>86</v>
      </c>
      <c r="C77" s="94">
        <v>2</v>
      </c>
      <c r="D77" s="96" t="s">
        <v>62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450</v>
      </c>
      <c r="P77" s="81"/>
    </row>
    <row r="83" spans="11:13" ht="20" customHeight="1" x14ac:dyDescent="0.2">
      <c r="K83" s="81"/>
      <c r="L83" s="81"/>
      <c r="M83" s="95"/>
    </row>
  </sheetData>
  <phoneticPr fontId="1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R2" s="81"/>
      <c r="S2" s="81"/>
      <c r="T2" s="81"/>
      <c r="U2" s="81"/>
      <c r="V2" s="106"/>
      <c r="W2" s="81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S3" s="81"/>
      <c r="T3" s="81"/>
      <c r="U3" s="81"/>
      <c r="V3" s="81"/>
      <c r="W3" s="106"/>
      <c r="X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106"/>
      <c r="X4" s="81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106"/>
      <c r="AA5" s="81"/>
    </row>
    <row r="6" spans="1:27" ht="16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Q6" s="81"/>
      <c r="R6" s="81"/>
      <c r="S6" s="81"/>
      <c r="T6" s="81"/>
      <c r="U6" s="81"/>
      <c r="V6" s="106"/>
      <c r="W6" s="81"/>
      <c r="X6" s="81"/>
      <c r="AA6" s="81"/>
    </row>
    <row r="7" spans="1:27" ht="16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Q7" s="81"/>
      <c r="R7" s="81"/>
      <c r="S7" s="81"/>
      <c r="T7" s="81"/>
      <c r="U7" s="81"/>
      <c r="V7" s="106"/>
      <c r="W7" s="81"/>
      <c r="X7" s="81"/>
      <c r="AA7" s="81"/>
    </row>
    <row r="8" spans="1:27" ht="16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Q8" s="81"/>
      <c r="R8" s="81"/>
      <c r="S8" s="81"/>
      <c r="T8" s="81"/>
      <c r="U8" s="81"/>
      <c r="V8" s="106"/>
      <c r="W8" s="81"/>
      <c r="X8" s="81"/>
      <c r="AA8" s="81"/>
    </row>
    <row r="9" spans="1:27" ht="16" customHeight="1" x14ac:dyDescent="0.2">
      <c r="A9" s="94" t="s">
        <v>19</v>
      </c>
      <c r="B9" s="96" t="s">
        <v>35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375</v>
      </c>
      <c r="Q9" s="81"/>
      <c r="R9" s="81"/>
      <c r="S9" s="81"/>
      <c r="T9" s="81"/>
      <c r="U9" s="81"/>
      <c r="V9" s="106"/>
      <c r="W9" s="81"/>
      <c r="X9" s="81"/>
    </row>
    <row r="10" spans="1:27" ht="16" customHeight="1" x14ac:dyDescent="0.2">
      <c r="A10" s="94" t="s">
        <v>19</v>
      </c>
      <c r="B10" s="96" t="s">
        <v>35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337.5</v>
      </c>
      <c r="Q10" s="81"/>
      <c r="R10" s="81"/>
      <c r="S10" s="81"/>
      <c r="T10" s="81"/>
      <c r="U10" s="81"/>
      <c r="V10" s="106"/>
      <c r="W10" s="81"/>
    </row>
    <row r="11" spans="1:27" ht="16" customHeight="1" x14ac:dyDescent="0.2">
      <c r="A11" s="94" t="s">
        <v>19</v>
      </c>
      <c r="B11" s="96" t="s">
        <v>35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106"/>
      <c r="W11" s="81"/>
      <c r="X11" s="81"/>
    </row>
    <row r="12" spans="1:27" ht="16" customHeight="1" x14ac:dyDescent="0.2">
      <c r="A12" s="94" t="s">
        <v>19</v>
      </c>
      <c r="B12" s="96" t="s">
        <v>35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106"/>
      <c r="W12" s="81"/>
      <c r="X12" s="81"/>
    </row>
    <row r="13" spans="1:27" ht="16" customHeight="1" x14ac:dyDescent="0.2">
      <c r="A13" s="94" t="s">
        <v>19</v>
      </c>
      <c r="B13" s="96" t="s">
        <v>35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106"/>
      <c r="W13" s="81"/>
    </row>
    <row r="14" spans="1:27" ht="16" x14ac:dyDescent="0.2">
      <c r="A14" s="94" t="s">
        <v>19</v>
      </c>
      <c r="B14" s="96" t="s">
        <v>35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4" t="s">
        <v>21</v>
      </c>
      <c r="B15" s="96" t="s">
        <v>36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4" t="s">
        <v>21</v>
      </c>
      <c r="B16" s="96" t="s">
        <v>36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4" t="s">
        <v>21</v>
      </c>
      <c r="B17" s="96" t="s">
        <v>36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4" t="s">
        <v>21</v>
      </c>
      <c r="B18" s="96" t="s">
        <v>36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4" t="s">
        <v>21</v>
      </c>
      <c r="B19" s="96" t="s">
        <v>36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4" t="s">
        <v>21</v>
      </c>
      <c r="B20" s="96" t="s">
        <v>36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4" t="s">
        <v>21</v>
      </c>
      <c r="B21" s="96" t="s">
        <v>36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4" t="s">
        <v>21</v>
      </c>
      <c r="B22" s="96" t="s">
        <v>36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4" t="s">
        <v>21</v>
      </c>
      <c r="B23" s="96" t="s">
        <v>36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4" t="s">
        <v>21</v>
      </c>
      <c r="B24" s="96" t="s">
        <v>36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4" t="s">
        <v>21</v>
      </c>
      <c r="B25" s="96" t="s">
        <v>36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4" t="s">
        <v>21</v>
      </c>
      <c r="B26" s="96" t="s">
        <v>36</v>
      </c>
      <c r="C26" s="94">
        <v>12</v>
      </c>
      <c r="D26" s="96" t="s">
        <v>72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4" t="s">
        <v>23</v>
      </c>
      <c r="B27" s="96" t="s">
        <v>37</v>
      </c>
      <c r="C27" s="94">
        <v>1</v>
      </c>
      <c r="D27" s="94" t="s">
        <v>60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4" t="s">
        <v>23</v>
      </c>
      <c r="B28" s="96" t="s">
        <v>37</v>
      </c>
      <c r="C28" s="94">
        <v>2</v>
      </c>
      <c r="D28" s="96" t="s">
        <v>62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270</v>
      </c>
      <c r="O28" s="81"/>
      <c r="P28" s="81"/>
      <c r="Q28" s="81"/>
      <c r="R28" s="81"/>
      <c r="S28" s="106"/>
    </row>
    <row r="29" spans="1:22" ht="16" customHeight="1" x14ac:dyDescent="0.2">
      <c r="A29" s="94" t="s">
        <v>23</v>
      </c>
      <c r="B29" s="96" t="s">
        <v>37</v>
      </c>
      <c r="C29" s="94">
        <v>3</v>
      </c>
      <c r="D29" s="94" t="s">
        <v>63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252</v>
      </c>
      <c r="P29" s="81"/>
      <c r="Q29" s="81"/>
      <c r="R29" s="81"/>
      <c r="S29" s="81"/>
      <c r="T29" s="106"/>
      <c r="U29" s="81"/>
    </row>
    <row r="30" spans="1:22" ht="16" customHeight="1" x14ac:dyDescent="0.2">
      <c r="A30" s="94" t="s">
        <v>23</v>
      </c>
      <c r="B30" s="96" t="s">
        <v>37</v>
      </c>
      <c r="C30" s="94">
        <v>4</v>
      </c>
      <c r="D30" s="96" t="s">
        <v>64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240</v>
      </c>
      <c r="O30" s="81"/>
      <c r="P30" s="81"/>
      <c r="Q30" s="81"/>
      <c r="R30" s="81"/>
      <c r="S30" s="81"/>
      <c r="T30" s="106"/>
      <c r="U30" s="81"/>
      <c r="V30" s="81"/>
    </row>
    <row r="31" spans="1:22" ht="16" customHeight="1" x14ac:dyDescent="0.2">
      <c r="A31" s="94" t="s">
        <v>23</v>
      </c>
      <c r="B31" s="96" t="s">
        <v>37</v>
      </c>
      <c r="C31" s="94">
        <v>5</v>
      </c>
      <c r="D31" s="94" t="s">
        <v>65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234</v>
      </c>
      <c r="O31" s="81"/>
      <c r="P31" s="81"/>
      <c r="Q31" s="81"/>
      <c r="R31" s="81"/>
      <c r="S31" s="81"/>
      <c r="T31" s="106"/>
      <c r="U31" s="81"/>
      <c r="V31" s="81"/>
    </row>
    <row r="32" spans="1:22" ht="16" customHeight="1" x14ac:dyDescent="0.2">
      <c r="A32" s="94" t="s">
        <v>23</v>
      </c>
      <c r="B32" s="96" t="s">
        <v>37</v>
      </c>
      <c r="C32" s="94">
        <v>6</v>
      </c>
      <c r="D32" s="94" t="s">
        <v>66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228</v>
      </c>
      <c r="O32" s="81"/>
      <c r="P32" s="81"/>
      <c r="Q32" s="81"/>
      <c r="R32" s="81"/>
      <c r="S32" s="81"/>
      <c r="T32" s="106"/>
      <c r="U32" s="81"/>
      <c r="V32" s="81"/>
    </row>
    <row r="33" spans="1:21" ht="16" customHeight="1" x14ac:dyDescent="0.2">
      <c r="A33" s="94" t="s">
        <v>23</v>
      </c>
      <c r="B33" s="96" t="s">
        <v>37</v>
      </c>
      <c r="C33" s="94">
        <v>7</v>
      </c>
      <c r="D33" s="96" t="s">
        <v>67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222</v>
      </c>
      <c r="O33" s="81"/>
      <c r="P33" s="81"/>
      <c r="Q33" s="81"/>
      <c r="R33" s="81"/>
      <c r="S33" s="81"/>
      <c r="T33" s="106"/>
    </row>
    <row r="34" spans="1:21" ht="16" customHeight="1" x14ac:dyDescent="0.2">
      <c r="A34" s="94" t="s">
        <v>23</v>
      </c>
      <c r="B34" s="96" t="s">
        <v>37</v>
      </c>
      <c r="C34" s="94">
        <v>8</v>
      </c>
      <c r="D34" s="94" t="s">
        <v>68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216</v>
      </c>
      <c r="N34" s="81"/>
      <c r="O34" s="81"/>
      <c r="P34" s="81"/>
      <c r="Q34" s="81"/>
      <c r="R34" s="81"/>
      <c r="S34" s="106"/>
      <c r="T34" s="81"/>
      <c r="U34" s="81"/>
    </row>
    <row r="35" spans="1:21" ht="16" customHeight="1" x14ac:dyDescent="0.2">
      <c r="A35" s="94" t="s">
        <v>23</v>
      </c>
      <c r="B35" s="96" t="s">
        <v>37</v>
      </c>
      <c r="C35" s="94">
        <v>9</v>
      </c>
      <c r="D35" s="96" t="s">
        <v>69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210</v>
      </c>
      <c r="N35" s="81"/>
      <c r="O35" s="81"/>
      <c r="P35" s="81"/>
      <c r="Q35" s="81"/>
      <c r="R35" s="81"/>
      <c r="S35" s="106"/>
    </row>
    <row r="36" spans="1:21" ht="16" customHeight="1" x14ac:dyDescent="0.2">
      <c r="A36" s="94" t="s">
        <v>59</v>
      </c>
      <c r="B36" s="96" t="s">
        <v>38</v>
      </c>
      <c r="C36" s="94">
        <v>1</v>
      </c>
      <c r="D36" s="94" t="s">
        <v>60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4" t="s">
        <v>59</v>
      </c>
      <c r="B37" s="96" t="s">
        <v>38</v>
      </c>
      <c r="C37" s="94">
        <v>2</v>
      </c>
      <c r="D37" s="96" t="s">
        <v>62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4" t="s">
        <v>59</v>
      </c>
      <c r="B38" s="96" t="s">
        <v>38</v>
      </c>
      <c r="C38" s="94">
        <v>3</v>
      </c>
      <c r="D38" s="94" t="s">
        <v>63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4" t="s">
        <v>19</v>
      </c>
      <c r="B39" s="96" t="s">
        <v>39</v>
      </c>
      <c r="C39" s="94">
        <v>1</v>
      </c>
      <c r="D39" s="94" t="s">
        <v>60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4" t="s">
        <v>19</v>
      </c>
      <c r="B40" s="96" t="s">
        <v>39</v>
      </c>
      <c r="C40" s="94">
        <v>2</v>
      </c>
      <c r="D40" s="96" t="s">
        <v>62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4" t="s">
        <v>19</v>
      </c>
      <c r="B41" s="96" t="s">
        <v>39</v>
      </c>
      <c r="C41" s="94">
        <v>3</v>
      </c>
      <c r="D41" s="94" t="s">
        <v>63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4" t="s">
        <v>21</v>
      </c>
      <c r="B42" s="96" t="s">
        <v>40</v>
      </c>
      <c r="C42" s="94">
        <v>1</v>
      </c>
      <c r="D42" s="94" t="s">
        <v>60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4" t="s">
        <v>21</v>
      </c>
      <c r="B43" s="96" t="s">
        <v>40</v>
      </c>
      <c r="C43" s="94">
        <v>2</v>
      </c>
      <c r="D43" s="96" t="s">
        <v>62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4" t="s">
        <v>21</v>
      </c>
      <c r="B44" s="96" t="s">
        <v>40</v>
      </c>
      <c r="C44" s="94">
        <v>3</v>
      </c>
      <c r="D44" s="94" t="s">
        <v>63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4" t="s">
        <v>41</v>
      </c>
      <c r="B45" s="96" t="s">
        <v>46</v>
      </c>
      <c r="C45" s="94">
        <v>1</v>
      </c>
      <c r="D45" s="94" t="s">
        <v>60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</row>
  </sheetData>
  <phoneticPr fontId="1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T2" s="81"/>
      <c r="U2" s="81"/>
      <c r="V2" s="81"/>
      <c r="W2" s="81"/>
      <c r="X2" s="95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R3" s="81"/>
      <c r="S3" s="81"/>
      <c r="T3" s="81"/>
      <c r="U3" s="81"/>
      <c r="V3" s="81"/>
      <c r="W3" s="81"/>
      <c r="X3" s="95"/>
      <c r="Y3" s="81"/>
      <c r="Z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81"/>
      <c r="X4" s="95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81"/>
      <c r="X5" s="95"/>
      <c r="Y5" s="81"/>
      <c r="AA5" s="81"/>
    </row>
    <row r="6" spans="1:27" ht="16" customHeight="1" x14ac:dyDescent="0.2">
      <c r="A6" s="94" t="s">
        <v>19</v>
      </c>
      <c r="B6" s="96" t="s">
        <v>35</v>
      </c>
      <c r="C6" s="94">
        <v>1</v>
      </c>
      <c r="D6" s="94" t="s">
        <v>60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375</v>
      </c>
      <c r="Q6" s="81"/>
      <c r="R6" s="81"/>
      <c r="S6" s="81"/>
      <c r="T6" s="81"/>
      <c r="U6" s="81"/>
      <c r="V6" s="81"/>
      <c r="W6" s="81"/>
      <c r="X6" s="95"/>
    </row>
    <row r="7" spans="1:27" ht="16" customHeight="1" x14ac:dyDescent="0.2">
      <c r="A7" s="94" t="s">
        <v>19</v>
      </c>
      <c r="B7" s="96" t="s">
        <v>35</v>
      </c>
      <c r="C7" s="94">
        <v>2</v>
      </c>
      <c r="D7" s="96" t="s">
        <v>62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337.5</v>
      </c>
      <c r="Q7" s="81"/>
      <c r="R7" s="81"/>
      <c r="S7" s="81"/>
      <c r="T7" s="81"/>
      <c r="U7" s="81"/>
      <c r="V7" s="81"/>
      <c r="W7" s="81"/>
      <c r="X7" s="95"/>
    </row>
    <row r="8" spans="1:27" ht="16" customHeight="1" x14ac:dyDescent="0.2">
      <c r="A8" s="94" t="s">
        <v>19</v>
      </c>
      <c r="B8" s="96" t="s">
        <v>35</v>
      </c>
      <c r="C8" s="94">
        <v>3</v>
      </c>
      <c r="D8" s="94" t="s">
        <v>63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315</v>
      </c>
      <c r="Q8" s="81"/>
      <c r="R8" s="81"/>
      <c r="S8" s="81"/>
      <c r="T8" s="81"/>
      <c r="U8" s="81"/>
      <c r="V8" s="81"/>
      <c r="W8" s="95"/>
      <c r="X8" s="81"/>
    </row>
    <row r="9" spans="1:27" ht="16" customHeight="1" x14ac:dyDescent="0.2">
      <c r="A9" s="94" t="s">
        <v>21</v>
      </c>
      <c r="B9" s="96" t="s">
        <v>36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350</v>
      </c>
      <c r="Q9" s="81"/>
      <c r="R9" s="81"/>
      <c r="S9" s="81"/>
      <c r="T9" s="81"/>
      <c r="U9" s="81"/>
      <c r="V9" s="81"/>
      <c r="W9" s="95"/>
      <c r="X9" s="81"/>
    </row>
    <row r="10" spans="1:27" ht="16" customHeight="1" x14ac:dyDescent="0.2">
      <c r="A10" s="94" t="s">
        <v>21</v>
      </c>
      <c r="B10" s="96" t="s">
        <v>36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315</v>
      </c>
      <c r="Q10" s="81"/>
      <c r="R10" s="81"/>
      <c r="S10" s="81"/>
      <c r="T10" s="81"/>
      <c r="U10" s="81"/>
      <c r="V10" s="81"/>
      <c r="W10" s="95"/>
    </row>
    <row r="11" spans="1:27" ht="16" customHeight="1" x14ac:dyDescent="0.2">
      <c r="A11" s="94" t="s">
        <v>21</v>
      </c>
      <c r="B11" s="96" t="s">
        <v>36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4" t="s">
        <v>21</v>
      </c>
      <c r="B12" s="96" t="s">
        <v>36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4" t="s">
        <v>21</v>
      </c>
      <c r="B13" s="96" t="s">
        <v>36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4" t="s">
        <v>21</v>
      </c>
      <c r="B14" s="96" t="s">
        <v>36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4" t="s">
        <v>21</v>
      </c>
      <c r="B15" s="96" t="s">
        <v>36</v>
      </c>
      <c r="C15" s="94">
        <v>7</v>
      </c>
      <c r="D15" s="94" t="s">
        <v>67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4" t="s">
        <v>23</v>
      </c>
      <c r="B16" s="96" t="s">
        <v>37</v>
      </c>
      <c r="C16" s="94">
        <v>1</v>
      </c>
      <c r="D16" s="94" t="s">
        <v>60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4" t="s">
        <v>23</v>
      </c>
      <c r="B17" s="96" t="s">
        <v>37</v>
      </c>
      <c r="C17" s="94">
        <v>2</v>
      </c>
      <c r="D17" s="96" t="s">
        <v>62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O17" s="81"/>
      <c r="P17" s="81"/>
      <c r="Q17" s="81"/>
      <c r="R17" s="81"/>
      <c r="S17" s="106"/>
    </row>
    <row r="18" spans="1:22" ht="16" customHeight="1" x14ac:dyDescent="0.2">
      <c r="A18" s="94" t="s">
        <v>23</v>
      </c>
      <c r="B18" s="96" t="s">
        <v>37</v>
      </c>
      <c r="C18" s="94">
        <v>3</v>
      </c>
      <c r="D18" s="94" t="s">
        <v>63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252</v>
      </c>
      <c r="P18" s="81"/>
      <c r="Q18" s="81"/>
      <c r="R18" s="81"/>
      <c r="S18" s="81"/>
      <c r="T18" s="106"/>
      <c r="U18" s="81"/>
    </row>
    <row r="19" spans="1:22" ht="16" customHeight="1" x14ac:dyDescent="0.2">
      <c r="A19" s="94" t="s">
        <v>23</v>
      </c>
      <c r="B19" s="96" t="s">
        <v>37</v>
      </c>
      <c r="C19" s="94">
        <v>4</v>
      </c>
      <c r="D19" s="96" t="s">
        <v>64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240</v>
      </c>
      <c r="O19" s="81"/>
      <c r="P19" s="81"/>
      <c r="Q19" s="81"/>
      <c r="R19" s="81"/>
      <c r="S19" s="81"/>
      <c r="T19" s="106"/>
      <c r="U19" s="81"/>
      <c r="V19" s="81"/>
    </row>
    <row r="20" spans="1:22" ht="16" customHeight="1" x14ac:dyDescent="0.2">
      <c r="A20" s="94" t="s">
        <v>23</v>
      </c>
      <c r="B20" s="96" t="s">
        <v>37</v>
      </c>
      <c r="C20" s="94">
        <v>5</v>
      </c>
      <c r="D20" s="94" t="s">
        <v>65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234</v>
      </c>
      <c r="O20" s="81"/>
      <c r="P20" s="81"/>
      <c r="Q20" s="81"/>
      <c r="R20" s="81"/>
      <c r="S20" s="81"/>
      <c r="T20" s="106"/>
      <c r="U20" s="81"/>
      <c r="V20" s="81"/>
    </row>
    <row r="21" spans="1:22" ht="16" customHeight="1" x14ac:dyDescent="0.2">
      <c r="A21" s="94" t="s">
        <v>59</v>
      </c>
      <c r="B21" s="96" t="s">
        <v>38</v>
      </c>
      <c r="C21" s="94">
        <v>1</v>
      </c>
      <c r="D21" s="94" t="s">
        <v>60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4" t="s">
        <v>59</v>
      </c>
      <c r="B22" s="96" t="s">
        <v>38</v>
      </c>
      <c r="C22" s="94">
        <v>2</v>
      </c>
      <c r="D22" s="96" t="s">
        <v>62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4" t="s">
        <v>59</v>
      </c>
      <c r="B23" s="96" t="s">
        <v>38</v>
      </c>
      <c r="C23" s="94">
        <v>3</v>
      </c>
      <c r="D23" s="94" t="s">
        <v>63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4" t="s">
        <v>41</v>
      </c>
      <c r="B24" s="96" t="s">
        <v>46</v>
      </c>
      <c r="C24" s="94">
        <v>1</v>
      </c>
      <c r="D24" s="94" t="s">
        <v>60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4" t="s">
        <v>41</v>
      </c>
      <c r="B25" s="96" t="s">
        <v>47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4" t="s">
        <v>41</v>
      </c>
      <c r="B26" s="96" t="s">
        <v>47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4" t="s">
        <v>41</v>
      </c>
      <c r="B27" s="96" t="s">
        <v>47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4" t="s">
        <v>41</v>
      </c>
      <c r="B28" s="96" t="s">
        <v>47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4" t="s">
        <v>41</v>
      </c>
      <c r="B29" s="96" t="s">
        <v>47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2" workbookViewId="0">
      <selection activeCell="K3" sqref="K3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61" t="s">
        <v>16</v>
      </c>
      <c r="D2" s="162"/>
      <c r="E2" s="162"/>
      <c r="F2" s="162"/>
      <c r="G2" s="162"/>
      <c r="H2" s="162"/>
      <c r="I2" s="162"/>
      <c r="J2" s="162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5</v>
      </c>
      <c r="B46" s="44" t="s">
        <v>115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0"/>
  <sheetViews>
    <sheetView workbookViewId="0">
      <selection activeCell="C3" sqref="C3:C9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6" width="22.6640625" style="27" hidden="1" customWidth="1"/>
    <col min="11" max="11" width="25.1640625" customWidth="1"/>
    <col min="12" max="12" width="36.1640625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78</v>
      </c>
      <c r="F1" s="16" t="s">
        <v>77</v>
      </c>
      <c r="H1" s="16" t="s">
        <v>30</v>
      </c>
    </row>
    <row r="2" spans="1:19" ht="17" customHeight="1" x14ac:dyDescent="0.2">
      <c r="A2" s="16">
        <f>COUNTA(A3:A294)</f>
        <v>32</v>
      </c>
      <c r="B2" s="16">
        <f>COUNTA(B3:B294)</f>
        <v>86</v>
      </c>
      <c r="C2" s="16">
        <f>COUNTA(C3:C294)</f>
        <v>7</v>
      </c>
      <c r="D2" s="16">
        <f>COUNTA(D3:D294)</f>
        <v>25</v>
      </c>
      <c r="E2" s="16">
        <f>COUNTA(E3:E294)</f>
        <v>0</v>
      </c>
      <c r="F2" s="16">
        <f>COUNTA(F3:F294)</f>
        <v>0</v>
      </c>
      <c r="H2" s="16"/>
      <c r="K2" s="113"/>
      <c r="L2" s="112"/>
      <c r="M2" t="e">
        <f>MATCH(L2, D$3:D190,0)</f>
        <v>#N/A</v>
      </c>
    </row>
    <row r="3" spans="1:19" ht="17" customHeight="1" x14ac:dyDescent="0.2">
      <c r="A3" s="90" t="s">
        <v>213</v>
      </c>
      <c r="B3" s="144" t="s">
        <v>232</v>
      </c>
      <c r="C3" s="113" t="s">
        <v>325</v>
      </c>
      <c r="D3" s="144" t="s">
        <v>264</v>
      </c>
      <c r="E3" s="75"/>
      <c r="F3" s="75"/>
      <c r="K3" s="113"/>
      <c r="L3" s="112"/>
      <c r="M3" t="e">
        <f>MATCH(L3, D$3:D191,0)</f>
        <v>#N/A</v>
      </c>
    </row>
    <row r="4" spans="1:19" ht="17" customHeight="1" x14ac:dyDescent="0.2">
      <c r="A4" s="90" t="s">
        <v>167</v>
      </c>
      <c r="B4" s="145" t="s">
        <v>159</v>
      </c>
      <c r="C4" s="144" t="s">
        <v>262</v>
      </c>
      <c r="D4" s="90" t="s">
        <v>178</v>
      </c>
      <c r="E4" s="75"/>
      <c r="F4" s="75"/>
      <c r="K4" s="113"/>
      <c r="L4" s="112"/>
      <c r="M4" t="e">
        <f>MATCH(L4, D$3:D192,0)</f>
        <v>#N/A</v>
      </c>
    </row>
    <row r="5" spans="1:19" ht="17" customHeight="1" x14ac:dyDescent="0.2">
      <c r="A5" s="90" t="s">
        <v>168</v>
      </c>
      <c r="B5" s="144" t="s">
        <v>223</v>
      </c>
      <c r="C5" s="144" t="s">
        <v>259</v>
      </c>
      <c r="D5" s="90" t="s">
        <v>177</v>
      </c>
      <c r="E5" s="75"/>
      <c r="F5" s="75"/>
      <c r="K5" s="113"/>
      <c r="L5" s="112"/>
      <c r="M5" t="e">
        <f>MATCH(L5, D$3:D193,0)</f>
        <v>#N/A</v>
      </c>
    </row>
    <row r="6" spans="1:19" ht="17" customHeight="1" x14ac:dyDescent="0.2">
      <c r="A6" s="144" t="s">
        <v>253</v>
      </c>
      <c r="B6" s="145" t="s">
        <v>209</v>
      </c>
      <c r="C6" s="90" t="s">
        <v>189</v>
      </c>
      <c r="D6" s="90" t="s">
        <v>176</v>
      </c>
      <c r="E6" s="75"/>
      <c r="F6" s="75"/>
      <c r="K6" s="113"/>
      <c r="L6" s="112"/>
      <c r="M6" t="e">
        <f>MATCH(L6, D$3:D194,0)</f>
        <v>#N/A</v>
      </c>
    </row>
    <row r="7" spans="1:19" ht="17" customHeight="1" x14ac:dyDescent="0.2">
      <c r="A7" s="144" t="s">
        <v>251</v>
      </c>
      <c r="B7" s="145" t="s">
        <v>272</v>
      </c>
      <c r="C7" s="144" t="s">
        <v>261</v>
      </c>
      <c r="D7" s="144" t="s">
        <v>258</v>
      </c>
      <c r="E7" s="75"/>
      <c r="F7" s="75"/>
      <c r="K7" s="113"/>
      <c r="L7" s="112"/>
      <c r="M7" t="e">
        <f>MATCH(L7, D$3:D195,0)</f>
        <v>#N/A</v>
      </c>
      <c r="N7" s="135"/>
      <c r="O7" s="135"/>
      <c r="P7" s="135"/>
      <c r="Q7" s="135"/>
      <c r="R7" s="135"/>
      <c r="S7" s="135"/>
    </row>
    <row r="8" spans="1:19" ht="17" customHeight="1" x14ac:dyDescent="0.2">
      <c r="A8" s="90" t="s">
        <v>196</v>
      </c>
      <c r="B8" s="145" t="s">
        <v>298</v>
      </c>
      <c r="C8" s="144" t="s">
        <v>255</v>
      </c>
      <c r="D8" s="90" t="s">
        <v>318</v>
      </c>
      <c r="E8" s="75"/>
      <c r="F8" s="75"/>
      <c r="K8" s="113"/>
      <c r="L8" s="112"/>
      <c r="M8" t="e">
        <f>MATCH(L8, A$3:A196,0)</f>
        <v>#N/A</v>
      </c>
    </row>
    <row r="9" spans="1:19" ht="17" customHeight="1" x14ac:dyDescent="0.2">
      <c r="A9" s="144" t="s">
        <v>249</v>
      </c>
      <c r="B9" s="145" t="s">
        <v>203</v>
      </c>
      <c r="C9" s="144" t="s">
        <v>263</v>
      </c>
      <c r="D9" s="90" t="s">
        <v>197</v>
      </c>
      <c r="E9" s="75"/>
      <c r="F9" s="75"/>
      <c r="K9" s="113"/>
      <c r="L9" s="112"/>
      <c r="M9" t="e">
        <f>MATCH(L9, A$3:A197,0)</f>
        <v>#N/A</v>
      </c>
    </row>
    <row r="10" spans="1:19" ht="17" customHeight="1" x14ac:dyDescent="0.2">
      <c r="A10" s="144" t="s">
        <v>245</v>
      </c>
      <c r="B10" s="145" t="s">
        <v>285</v>
      </c>
      <c r="C10" s="127"/>
      <c r="D10" s="144" t="s">
        <v>260</v>
      </c>
      <c r="E10" s="75"/>
      <c r="F10" s="75"/>
      <c r="K10" s="113"/>
      <c r="L10" s="112"/>
      <c r="M10" t="e">
        <f>MATCH(L10, B$3:B198,0)</f>
        <v>#N/A</v>
      </c>
    </row>
    <row r="11" spans="1:19" ht="17" customHeight="1" x14ac:dyDescent="0.2">
      <c r="A11" s="144" t="s">
        <v>301</v>
      </c>
      <c r="B11" s="145" t="s">
        <v>156</v>
      </c>
      <c r="C11" s="127"/>
      <c r="D11" s="90" t="s">
        <v>190</v>
      </c>
      <c r="E11" s="75"/>
      <c r="F11" s="75"/>
      <c r="K11" s="113"/>
      <c r="L11" s="112"/>
      <c r="M11" t="e">
        <f>MATCH(L11, B$3:B199,0)</f>
        <v>#N/A</v>
      </c>
    </row>
    <row r="12" spans="1:19" ht="17" customHeight="1" x14ac:dyDescent="0.2">
      <c r="A12" s="90" t="s">
        <v>185</v>
      </c>
      <c r="B12" s="144" t="s">
        <v>226</v>
      </c>
      <c r="C12"/>
      <c r="D12" s="90" t="s">
        <v>321</v>
      </c>
      <c r="E12"/>
      <c r="F12"/>
      <c r="K12" s="113"/>
      <c r="L12" s="112"/>
      <c r="M12" t="e">
        <f>MATCH(L12, A$3:A$190,0)</f>
        <v>#N/A</v>
      </c>
    </row>
    <row r="13" spans="1:19" ht="17" customHeight="1" x14ac:dyDescent="0.2">
      <c r="A13" s="144" t="s">
        <v>302</v>
      </c>
      <c r="B13" s="145" t="s">
        <v>274</v>
      </c>
      <c r="C13" s="75"/>
      <c r="D13" s="90" t="s">
        <v>214</v>
      </c>
      <c r="E13" s="75"/>
      <c r="F13" s="75"/>
      <c r="K13" s="113"/>
      <c r="L13" s="112"/>
      <c r="M13" t="e">
        <f>MATCH(L13, A$3:A$190,0)</f>
        <v>#N/A</v>
      </c>
    </row>
    <row r="14" spans="1:19" ht="17" customHeight="1" x14ac:dyDescent="0.2">
      <c r="A14" s="90" t="s">
        <v>212</v>
      </c>
      <c r="B14" s="145" t="s">
        <v>157</v>
      </c>
      <c r="C14" s="75"/>
      <c r="D14" s="90" t="s">
        <v>215</v>
      </c>
      <c r="E14" s="75"/>
      <c r="F14" s="75"/>
      <c r="K14" s="63"/>
      <c r="L14" s="112"/>
      <c r="M14" t="e">
        <f>MATCH(L14, A$3:A$190,0)</f>
        <v>#N/A</v>
      </c>
    </row>
    <row r="15" spans="1:19" ht="17" customHeight="1" x14ac:dyDescent="0.2">
      <c r="A15" s="144" t="s">
        <v>250</v>
      </c>
      <c r="B15" s="145" t="s">
        <v>291</v>
      </c>
      <c r="D15" s="144" t="s">
        <v>265</v>
      </c>
      <c r="K15" s="63"/>
      <c r="L15" s="112"/>
      <c r="M15" t="e">
        <f>MATCH(L15, A$3:A$190,0)</f>
        <v>#N/A</v>
      </c>
    </row>
    <row r="16" spans="1:19" ht="17" customHeight="1" x14ac:dyDescent="0.2">
      <c r="A16" s="144" t="s">
        <v>315</v>
      </c>
      <c r="B16" s="144" t="s">
        <v>233</v>
      </c>
      <c r="C16" s="75"/>
      <c r="D16" s="90" t="s">
        <v>188</v>
      </c>
      <c r="E16" s="75"/>
      <c r="F16" s="75"/>
      <c r="K16" s="63"/>
      <c r="L16" s="112"/>
      <c r="M16" t="e">
        <f>MATCH(L16, B$3:B$190,0)</f>
        <v>#N/A</v>
      </c>
    </row>
    <row r="17" spans="1:13" ht="17" customHeight="1" x14ac:dyDescent="0.2">
      <c r="A17" s="90" t="s">
        <v>172</v>
      </c>
      <c r="B17" s="145" t="s">
        <v>286</v>
      </c>
      <c r="C17" s="75"/>
      <c r="D17" s="90" t="s">
        <v>219</v>
      </c>
      <c r="E17" s="75"/>
      <c r="F17" s="75"/>
      <c r="K17" s="63"/>
      <c r="L17" s="112"/>
      <c r="M17" t="e">
        <f>MATCH(L17, B$3:B$190,0)</f>
        <v>#N/A</v>
      </c>
    </row>
    <row r="18" spans="1:13" ht="17" customHeight="1" x14ac:dyDescent="0.2">
      <c r="A18" s="144" t="s">
        <v>308</v>
      </c>
      <c r="B18" s="145" t="s">
        <v>165</v>
      </c>
      <c r="C18" s="75"/>
      <c r="D18" s="90" t="s">
        <v>216</v>
      </c>
      <c r="E18" s="75"/>
      <c r="F18" s="75"/>
      <c r="K18" s="63"/>
      <c r="L18" s="112"/>
      <c r="M18" t="e">
        <f>MATCH(L18, B$3:B$190,0)</f>
        <v>#N/A</v>
      </c>
    </row>
    <row r="19" spans="1:13" ht="17" customHeight="1" x14ac:dyDescent="0.2">
      <c r="A19" s="144" t="s">
        <v>288</v>
      </c>
      <c r="B19" s="145" t="s">
        <v>284</v>
      </c>
      <c r="C19" s="75"/>
      <c r="D19" s="90" t="s">
        <v>179</v>
      </c>
      <c r="E19" s="75"/>
      <c r="F19" s="75"/>
      <c r="K19" s="63"/>
      <c r="L19" s="112"/>
      <c r="M19" t="e">
        <f>MATCH(L19, B$3:B$190,0)</f>
        <v>#N/A</v>
      </c>
    </row>
    <row r="20" spans="1:13" ht="17" customHeight="1" x14ac:dyDescent="0.2">
      <c r="A20" s="90" t="s">
        <v>173</v>
      </c>
      <c r="B20" s="145" t="s">
        <v>210</v>
      </c>
      <c r="C20" s="75"/>
      <c r="D20" s="90" t="s">
        <v>217</v>
      </c>
      <c r="E20" s="75"/>
      <c r="F20" s="75"/>
      <c r="K20" s="63"/>
      <c r="L20" s="112"/>
      <c r="M20" t="e">
        <f>MATCH(L20, B$3:B$190,0)</f>
        <v>#N/A</v>
      </c>
    </row>
    <row r="21" spans="1:13" ht="17" customHeight="1" x14ac:dyDescent="0.2">
      <c r="A21" s="90" t="s">
        <v>211</v>
      </c>
      <c r="B21" s="144" t="s">
        <v>238</v>
      </c>
      <c r="C21" s="75"/>
      <c r="D21" s="90" t="s">
        <v>175</v>
      </c>
      <c r="E21" s="75"/>
      <c r="F21" s="75"/>
      <c r="K21" s="63"/>
      <c r="L21" s="112"/>
      <c r="M21" t="e">
        <f>MATCH(L21, B$3:B$190,0)</f>
        <v>#N/A</v>
      </c>
    </row>
    <row r="22" spans="1:13" ht="17" customHeight="1" x14ac:dyDescent="0.2">
      <c r="A22" s="144" t="s">
        <v>299</v>
      </c>
      <c r="B22" s="144" t="s">
        <v>228</v>
      </c>
      <c r="D22" s="144" t="s">
        <v>256</v>
      </c>
      <c r="K22" s="63"/>
      <c r="L22" s="112"/>
      <c r="M22" t="e">
        <f>MATCH(L22, B$3:B$190,0)</f>
        <v>#N/A</v>
      </c>
    </row>
    <row r="23" spans="1:13" ht="17" customHeight="1" x14ac:dyDescent="0.2">
      <c r="A23" s="90" t="s">
        <v>123</v>
      </c>
      <c r="B23" s="145" t="s">
        <v>282</v>
      </c>
      <c r="C23" s="75"/>
      <c r="D23" s="144" t="s">
        <v>266</v>
      </c>
      <c r="E23" s="75"/>
      <c r="F23" s="75"/>
      <c r="K23" s="63"/>
      <c r="L23" s="112"/>
      <c r="M23" t="e">
        <f>MATCH(L23, B$3:B$190,0)</f>
        <v>#N/A</v>
      </c>
    </row>
    <row r="24" spans="1:13" ht="17" customHeight="1" x14ac:dyDescent="0.2">
      <c r="A24" s="90" t="s">
        <v>171</v>
      </c>
      <c r="B24" s="145" t="s">
        <v>294</v>
      </c>
      <c r="C24" s="75"/>
      <c r="D24" s="90" t="s">
        <v>322</v>
      </c>
      <c r="E24" s="75"/>
      <c r="F24" s="75"/>
      <c r="K24" s="63"/>
      <c r="L24" s="112"/>
      <c r="M24" t="e">
        <f>MATCH(L24, B$3:B$190,0)</f>
        <v>#N/A</v>
      </c>
    </row>
    <row r="25" spans="1:13" ht="17" customHeight="1" x14ac:dyDescent="0.2">
      <c r="A25" s="90" t="s">
        <v>174</v>
      </c>
      <c r="B25" s="145" t="s">
        <v>162</v>
      </c>
      <c r="C25" s="75"/>
      <c r="D25" s="90" t="s">
        <v>186</v>
      </c>
      <c r="E25" s="75"/>
      <c r="F25" s="75"/>
      <c r="K25" s="63"/>
      <c r="L25" s="112"/>
      <c r="M25" t="e">
        <f>MATCH(L25, B$3:B$190,0)</f>
        <v>#N/A</v>
      </c>
    </row>
    <row r="26" spans="1:13" ht="17" customHeight="1" x14ac:dyDescent="0.2">
      <c r="A26" s="144" t="s">
        <v>244</v>
      </c>
      <c r="B26" s="145" t="s">
        <v>161</v>
      </c>
      <c r="C26" s="75"/>
      <c r="D26" s="90" t="s">
        <v>187</v>
      </c>
      <c r="E26" s="75"/>
      <c r="F26" s="75"/>
      <c r="K26" s="63"/>
      <c r="L26" s="112"/>
      <c r="M26" t="e">
        <f>MATCH(L26, B$3:B$190,0)</f>
        <v>#N/A</v>
      </c>
    </row>
    <row r="27" spans="1:13" ht="17" customHeight="1" x14ac:dyDescent="0.2">
      <c r="A27" s="144" t="s">
        <v>248</v>
      </c>
      <c r="B27" s="145" t="s">
        <v>270</v>
      </c>
      <c r="C27"/>
      <c r="D27" s="90" t="s">
        <v>218</v>
      </c>
      <c r="E27"/>
      <c r="F27"/>
      <c r="K27" s="63"/>
      <c r="L27" s="112"/>
      <c r="M27" t="e">
        <f>MATCH(L27, B$3:B$190,0)</f>
        <v>#N/A</v>
      </c>
    </row>
    <row r="28" spans="1:13" ht="17" customHeight="1" x14ac:dyDescent="0.2">
      <c r="A28" s="144" t="s">
        <v>254</v>
      </c>
      <c r="B28" s="144" t="s">
        <v>242</v>
      </c>
      <c r="C28" s="75"/>
      <c r="D28" s="127"/>
      <c r="E28" s="75"/>
      <c r="F28" s="75"/>
      <c r="K28" s="63"/>
      <c r="L28" s="112"/>
      <c r="M28" t="e">
        <f>MATCH(L28, B$3:B$190,0)</f>
        <v>#N/A</v>
      </c>
    </row>
    <row r="29" spans="1:13" ht="17" customHeight="1" x14ac:dyDescent="0.2">
      <c r="A29" s="144" t="s">
        <v>246</v>
      </c>
      <c r="B29" s="144" t="s">
        <v>225</v>
      </c>
      <c r="C29" s="75"/>
      <c r="D29" s="127"/>
      <c r="E29" s="75"/>
      <c r="F29" s="75"/>
      <c r="K29" s="63"/>
      <c r="L29" s="112"/>
      <c r="M29" t="e">
        <f>MATCH(L29, B$3:B$190,0)</f>
        <v>#N/A</v>
      </c>
    </row>
    <row r="30" spans="1:13" ht="17" customHeight="1" x14ac:dyDescent="0.2">
      <c r="A30" s="90" t="s">
        <v>170</v>
      </c>
      <c r="B30" s="144" t="s">
        <v>240</v>
      </c>
      <c r="C30" s="75"/>
      <c r="D30" s="127"/>
      <c r="E30" s="75"/>
      <c r="F30" s="75"/>
      <c r="K30" s="63"/>
      <c r="L30" s="112"/>
      <c r="M30" t="e">
        <f>MATCH(L30, B$3:B$190,0)</f>
        <v>#N/A</v>
      </c>
    </row>
    <row r="31" spans="1:13" ht="17" customHeight="1" x14ac:dyDescent="0.2">
      <c r="A31" s="144" t="s">
        <v>247</v>
      </c>
      <c r="B31" s="144" t="s">
        <v>220</v>
      </c>
      <c r="C31" s="75"/>
      <c r="D31" s="127"/>
      <c r="E31" s="75"/>
      <c r="F31" s="75"/>
      <c r="K31" s="63"/>
      <c r="L31" s="112"/>
      <c r="M31" t="e">
        <f>MATCH(L31, B$3:B$190,0)</f>
        <v>#N/A</v>
      </c>
    </row>
    <row r="32" spans="1:13" ht="17" customHeight="1" x14ac:dyDescent="0.2">
      <c r="A32" s="144" t="s">
        <v>252</v>
      </c>
      <c r="B32" s="145" t="s">
        <v>208</v>
      </c>
      <c r="C32" s="75"/>
      <c r="D32" s="127"/>
      <c r="E32" s="75"/>
      <c r="F32" s="75"/>
      <c r="K32" s="63"/>
      <c r="L32" s="112"/>
      <c r="M32" t="e">
        <f>MATCH(L32, B$3:B$190,0)</f>
        <v>#N/A</v>
      </c>
    </row>
    <row r="33" spans="1:13" ht="17" customHeight="1" x14ac:dyDescent="0.2">
      <c r="A33" s="90" t="s">
        <v>169</v>
      </c>
      <c r="B33" s="145" t="s">
        <v>293</v>
      </c>
      <c r="C33" s="75"/>
      <c r="D33" s="127"/>
      <c r="E33" s="75"/>
      <c r="F33" s="75"/>
      <c r="K33" s="63"/>
      <c r="L33" s="112"/>
      <c r="M33" t="e">
        <f>MATCH(L33, B$3:B$190,0)</f>
        <v>#N/A</v>
      </c>
    </row>
    <row r="34" spans="1:13" ht="17" customHeight="1" x14ac:dyDescent="0.2">
      <c r="A34" s="144" t="s">
        <v>243</v>
      </c>
      <c r="B34" s="145" t="s">
        <v>201</v>
      </c>
      <c r="C34" s="75"/>
      <c r="D34" s="127"/>
      <c r="E34" s="75"/>
      <c r="F34" s="75"/>
      <c r="K34" s="63"/>
      <c r="L34" s="112"/>
      <c r="M34" t="e">
        <f>MATCH(L34, B$3:B$190,0)</f>
        <v>#N/A</v>
      </c>
    </row>
    <row r="35" spans="1:13" ht="17" customHeight="1" x14ac:dyDescent="0.2">
      <c r="A35" s="75"/>
      <c r="B35" s="145" t="s">
        <v>269</v>
      </c>
      <c r="C35" s="75"/>
      <c r="D35" s="127"/>
      <c r="E35" s="75"/>
      <c r="F35" s="75"/>
      <c r="K35" s="63"/>
      <c r="L35" s="112"/>
      <c r="M35" t="e">
        <f>MATCH(L35, B$3:B$190,0)</f>
        <v>#N/A</v>
      </c>
    </row>
    <row r="36" spans="1:13" ht="17" customHeight="1" x14ac:dyDescent="0.2">
      <c r="A36" s="75"/>
      <c r="B36" s="145" t="s">
        <v>305</v>
      </c>
      <c r="C36" s="75"/>
      <c r="D36" s="127"/>
      <c r="E36" s="75"/>
      <c r="F36" s="75"/>
      <c r="K36" s="63"/>
      <c r="L36" s="112"/>
      <c r="M36" t="e">
        <f>MATCH(L36, B$3:B$190,0)</f>
        <v>#N/A</v>
      </c>
    </row>
    <row r="37" spans="1:13" ht="17" customHeight="1" x14ac:dyDescent="0.2">
      <c r="A37" s="75"/>
      <c r="B37" s="145" t="s">
        <v>183</v>
      </c>
      <c r="C37" s="75"/>
      <c r="D37" s="113"/>
      <c r="E37" s="75"/>
      <c r="F37" s="75"/>
      <c r="K37" s="63"/>
      <c r="L37" s="112"/>
      <c r="M37" t="e">
        <f>MATCH(L37, B$3:B$190,0)</f>
        <v>#N/A</v>
      </c>
    </row>
    <row r="38" spans="1:13" ht="17" customHeight="1" x14ac:dyDescent="0.2">
      <c r="A38" s="75"/>
      <c r="B38" s="144" t="s">
        <v>235</v>
      </c>
      <c r="C38" s="75"/>
      <c r="D38" s="113"/>
      <c r="E38" s="75"/>
      <c r="F38" s="75"/>
      <c r="K38" s="63"/>
      <c r="L38" s="112"/>
      <c r="M38" t="e">
        <f>MATCH(L38, B$3:B$190,0)</f>
        <v>#N/A</v>
      </c>
    </row>
    <row r="39" spans="1:13" ht="17" customHeight="1" x14ac:dyDescent="0.2">
      <c r="A39" s="75"/>
      <c r="B39" s="144" t="s">
        <v>229</v>
      </c>
      <c r="C39" s="75"/>
      <c r="D39" s="113"/>
      <c r="E39" s="75"/>
      <c r="F39" s="75"/>
      <c r="K39" s="63"/>
      <c r="L39" s="112"/>
      <c r="M39" t="e">
        <f>MATCH(L39, B$3:B$190,0)</f>
        <v>#N/A</v>
      </c>
    </row>
    <row r="40" spans="1:13" ht="17" customHeight="1" x14ac:dyDescent="0.2">
      <c r="A40" s="75"/>
      <c r="B40" s="145" t="s">
        <v>290</v>
      </c>
      <c r="C40" s="75"/>
      <c r="D40" s="127"/>
      <c r="E40" s="75"/>
      <c r="F40" s="75"/>
      <c r="K40" s="63"/>
      <c r="L40" s="112"/>
      <c r="M40" t="e">
        <f>MATCH(L40, B$3:B$190,0)</f>
        <v>#N/A</v>
      </c>
    </row>
    <row r="41" spans="1:13" ht="17" customHeight="1" x14ac:dyDescent="0.2">
      <c r="A41" s="75"/>
      <c r="B41" s="144" t="s">
        <v>230</v>
      </c>
      <c r="C41" s="75"/>
      <c r="D41" s="113"/>
      <c r="E41" s="75"/>
      <c r="F41" s="75"/>
      <c r="K41" s="63"/>
      <c r="L41" s="112"/>
      <c r="M41" t="e">
        <f>MATCH(L41, B$3:B$190,0)</f>
        <v>#N/A</v>
      </c>
    </row>
    <row r="42" spans="1:13" ht="17" customHeight="1" x14ac:dyDescent="0.2">
      <c r="A42" s="75"/>
      <c r="B42" s="145" t="s">
        <v>296</v>
      </c>
      <c r="C42" s="75"/>
      <c r="D42" s="113"/>
      <c r="E42" s="75"/>
      <c r="F42" s="75"/>
      <c r="K42" s="63"/>
      <c r="L42" s="112"/>
      <c r="M42" t="e">
        <f>MATCH(L42, B$3:B$190,0)</f>
        <v>#N/A</v>
      </c>
    </row>
    <row r="43" spans="1:13" ht="17" customHeight="1" x14ac:dyDescent="0.2">
      <c r="A43" s="75"/>
      <c r="B43" s="145" t="s">
        <v>206</v>
      </c>
      <c r="C43" s="75"/>
      <c r="D43" s="113"/>
      <c r="E43" s="75"/>
      <c r="F43" s="75"/>
      <c r="K43" s="63"/>
      <c r="L43" s="112"/>
      <c r="M43" t="e">
        <f>MATCH(L43, B$3:B$190,0)</f>
        <v>#N/A</v>
      </c>
    </row>
    <row r="44" spans="1:13" ht="17" customHeight="1" x14ac:dyDescent="0.2">
      <c r="A44" s="75"/>
      <c r="B44" s="145" t="s">
        <v>160</v>
      </c>
      <c r="C44" s="75"/>
      <c r="D44" s="113"/>
      <c r="E44" s="75"/>
      <c r="F44" s="75"/>
      <c r="K44" s="63"/>
      <c r="L44" s="112"/>
      <c r="M44" t="e">
        <f>MATCH(L44, B$3:B$190,0)</f>
        <v>#N/A</v>
      </c>
    </row>
    <row r="45" spans="1:13" ht="17" customHeight="1" x14ac:dyDescent="0.2">
      <c r="A45" s="75"/>
      <c r="B45" s="145" t="s">
        <v>166</v>
      </c>
      <c r="C45" s="75"/>
      <c r="D45" s="113"/>
      <c r="E45" s="75"/>
      <c r="F45" s="75"/>
      <c r="K45" s="63"/>
      <c r="L45" s="112"/>
      <c r="M45" t="e">
        <f>MATCH(L45, B$3:B$190,0)</f>
        <v>#N/A</v>
      </c>
    </row>
    <row r="46" spans="1:13" ht="17" customHeight="1" x14ac:dyDescent="0.2">
      <c r="B46" s="144" t="s">
        <v>239</v>
      </c>
      <c r="D46" s="113"/>
      <c r="K46" s="63"/>
      <c r="L46" s="112"/>
      <c r="M46" t="e">
        <f>MATCH(L46, B$3:B$190,0)</f>
        <v>#N/A</v>
      </c>
    </row>
    <row r="47" spans="1:13" ht="17" customHeight="1" x14ac:dyDescent="0.2">
      <c r="A47" s="75"/>
      <c r="B47" s="144" t="s">
        <v>236</v>
      </c>
      <c r="C47" s="75"/>
      <c r="D47" s="113"/>
      <c r="E47" s="75"/>
      <c r="F47" s="75"/>
      <c r="K47" s="63"/>
      <c r="L47" s="112"/>
      <c r="M47" t="e">
        <f>MATCH(L47, B$3:B$190,0)</f>
        <v>#N/A</v>
      </c>
    </row>
    <row r="48" spans="1:13" ht="17" customHeight="1" x14ac:dyDescent="0.2">
      <c r="A48" s="75"/>
      <c r="B48" s="145" t="s">
        <v>195</v>
      </c>
      <c r="C48" s="75"/>
      <c r="D48" s="75"/>
      <c r="E48" s="75"/>
      <c r="F48" s="75"/>
      <c r="K48" s="63"/>
      <c r="L48" s="112"/>
      <c r="M48" t="e">
        <f>MATCH(L48, B$3:B$190,0)</f>
        <v>#N/A</v>
      </c>
    </row>
    <row r="49" spans="1:13" ht="17" customHeight="1" x14ac:dyDescent="0.2">
      <c r="A49" s="75"/>
      <c r="B49" s="145" t="s">
        <v>292</v>
      </c>
      <c r="C49" s="75"/>
      <c r="D49" s="75"/>
      <c r="E49" s="75"/>
      <c r="F49" s="75"/>
      <c r="K49" s="63"/>
      <c r="L49" s="112"/>
      <c r="M49" t="e">
        <f>MATCH(L49, B$3:B$190,0)</f>
        <v>#N/A</v>
      </c>
    </row>
    <row r="50" spans="1:13" ht="17" customHeight="1" x14ac:dyDescent="0.2">
      <c r="A50" s="75"/>
      <c r="B50" s="144" t="s">
        <v>227</v>
      </c>
      <c r="C50" s="75"/>
      <c r="D50" s="75"/>
      <c r="E50" s="75"/>
      <c r="F50" s="75"/>
      <c r="K50" s="63"/>
      <c r="L50" s="112"/>
      <c r="M50" t="e">
        <f>MATCH(L50, B$3:B$190,0)</f>
        <v>#N/A</v>
      </c>
    </row>
    <row r="51" spans="1:13" ht="17" customHeight="1" x14ac:dyDescent="0.2">
      <c r="B51" s="145" t="s">
        <v>158</v>
      </c>
      <c r="D51" s="75"/>
      <c r="K51" s="63"/>
      <c r="L51" s="112"/>
      <c r="M51" t="e">
        <f>MATCH(L51, B$3:B$190,0)</f>
        <v>#N/A</v>
      </c>
    </row>
    <row r="52" spans="1:13" ht="17" customHeight="1" x14ac:dyDescent="0.2">
      <c r="A52" s="75"/>
      <c r="B52" s="145" t="s">
        <v>204</v>
      </c>
      <c r="C52" s="75"/>
      <c r="D52" s="75"/>
      <c r="E52" s="75"/>
      <c r="F52" s="75"/>
      <c r="K52" s="63"/>
      <c r="L52" s="112"/>
      <c r="M52" t="e">
        <f>MATCH(L52, B$3:B$190,0)</f>
        <v>#N/A</v>
      </c>
    </row>
    <row r="53" spans="1:13" ht="17" customHeight="1" x14ac:dyDescent="0.2">
      <c r="A53" s="75"/>
      <c r="B53" s="145" t="s">
        <v>276</v>
      </c>
      <c r="C53" s="75"/>
      <c r="D53" s="75"/>
      <c r="E53" s="75"/>
      <c r="F53" s="75"/>
      <c r="K53" s="63"/>
      <c r="L53" s="113"/>
      <c r="M53" t="e">
        <f>MATCH(L53, B$3:B$190,0)</f>
        <v>#N/A</v>
      </c>
    </row>
    <row r="54" spans="1:13" ht="17" customHeight="1" x14ac:dyDescent="0.2">
      <c r="A54" s="75"/>
      <c r="B54" s="145" t="s">
        <v>313</v>
      </c>
      <c r="C54" s="75"/>
      <c r="D54" s="75"/>
      <c r="E54" s="75"/>
      <c r="F54" s="75"/>
      <c r="K54" s="63"/>
      <c r="L54" s="113"/>
      <c r="M54" t="e">
        <f>MATCH(L54, B$3:B$190,0)</f>
        <v>#N/A</v>
      </c>
    </row>
    <row r="55" spans="1:13" ht="17" customHeight="1" x14ac:dyDescent="0.2">
      <c r="A55" s="75"/>
      <c r="B55" s="144" t="s">
        <v>237</v>
      </c>
      <c r="C55" s="75"/>
      <c r="D55" s="75"/>
      <c r="E55" s="75"/>
      <c r="F55" s="75"/>
      <c r="K55" s="63"/>
      <c r="L55" s="113"/>
      <c r="M55" t="e">
        <f>MATCH(L55, B$3:B$190,0)</f>
        <v>#N/A</v>
      </c>
    </row>
    <row r="56" spans="1:13" ht="17" customHeight="1" x14ac:dyDescent="0.2">
      <c r="A56" s="75"/>
      <c r="B56" s="145" t="s">
        <v>182</v>
      </c>
      <c r="C56" s="75"/>
      <c r="D56" s="75"/>
      <c r="E56" s="75"/>
      <c r="F56" s="75"/>
      <c r="K56" s="63"/>
      <c r="L56" s="113"/>
      <c r="M56" t="e">
        <f>MATCH(L56, B$3:B$190,0)</f>
        <v>#N/A</v>
      </c>
    </row>
    <row r="57" spans="1:13" ht="17" customHeight="1" x14ac:dyDescent="0.2">
      <c r="A57" s="75"/>
      <c r="B57" s="145" t="s">
        <v>311</v>
      </c>
      <c r="C57" s="75"/>
      <c r="D57" s="75"/>
      <c r="E57" s="75"/>
      <c r="F57" s="75"/>
      <c r="K57" s="63"/>
      <c r="L57" s="113"/>
      <c r="M57" t="e">
        <f>MATCH(L57, B$3:B$190,0)</f>
        <v>#N/A</v>
      </c>
    </row>
    <row r="58" spans="1:13" ht="17" customHeight="1" x14ac:dyDescent="0.2">
      <c r="A58" s="75"/>
      <c r="B58" s="145" t="s">
        <v>193</v>
      </c>
      <c r="C58" s="75"/>
      <c r="D58" s="75"/>
      <c r="E58" s="75"/>
      <c r="F58" s="75"/>
      <c r="K58" s="63"/>
      <c r="L58" s="113"/>
      <c r="M58" t="e">
        <f>MATCH(L58, B$3:B$190,0)</f>
        <v>#N/A</v>
      </c>
    </row>
    <row r="59" spans="1:13" ht="17" customHeight="1" x14ac:dyDescent="0.2">
      <c r="A59" s="75"/>
      <c r="B59" s="145" t="s">
        <v>273</v>
      </c>
      <c r="C59" s="75"/>
      <c r="D59" s="75"/>
      <c r="E59" s="75"/>
      <c r="F59" s="75"/>
      <c r="K59" s="63"/>
      <c r="L59" s="113"/>
      <c r="M59" t="e">
        <f>MATCH(L59, B$3:B$190,0)</f>
        <v>#N/A</v>
      </c>
    </row>
    <row r="60" spans="1:13" ht="17" customHeight="1" x14ac:dyDescent="0.2">
      <c r="A60" s="75"/>
      <c r="B60" s="145" t="s">
        <v>184</v>
      </c>
      <c r="C60" s="75"/>
      <c r="D60" s="75"/>
      <c r="E60" s="75"/>
      <c r="F60" s="75"/>
      <c r="K60" s="63"/>
      <c r="L60" s="113"/>
      <c r="M60" t="e">
        <f>MATCH(L60, B$3:B$190,0)</f>
        <v>#N/A</v>
      </c>
    </row>
    <row r="61" spans="1:13" ht="17" customHeight="1" x14ac:dyDescent="0.2">
      <c r="A61" s="75"/>
      <c r="B61" s="144" t="s">
        <v>221</v>
      </c>
      <c r="C61" s="75"/>
      <c r="D61" s="75"/>
      <c r="E61" s="75"/>
      <c r="F61" s="75"/>
      <c r="K61" s="63"/>
      <c r="L61" s="113"/>
      <c r="M61" t="e">
        <f>MATCH(L61, B$3:B$190,0)</f>
        <v>#N/A</v>
      </c>
    </row>
    <row r="62" spans="1:13" ht="17" customHeight="1" x14ac:dyDescent="0.2">
      <c r="A62" s="75"/>
      <c r="B62" s="144" t="s">
        <v>231</v>
      </c>
      <c r="C62" s="75"/>
      <c r="D62" s="75"/>
      <c r="E62" s="75"/>
      <c r="F62" s="75"/>
      <c r="K62" s="63"/>
      <c r="L62" s="113"/>
      <c r="M62" t="e">
        <f>MATCH(L62, B$3:B$190,0)</f>
        <v>#N/A</v>
      </c>
    </row>
    <row r="63" spans="1:13" ht="17" customHeight="1" x14ac:dyDescent="0.2">
      <c r="A63" s="75"/>
      <c r="B63" s="145" t="s">
        <v>297</v>
      </c>
      <c r="C63" s="75"/>
      <c r="D63" s="75"/>
      <c r="E63" s="75"/>
      <c r="F63" s="75"/>
      <c r="K63" s="63"/>
      <c r="L63" s="113"/>
      <c r="M63" t="e">
        <f>MATCH(L63, B$3:B$190,0)</f>
        <v>#N/A</v>
      </c>
    </row>
    <row r="64" spans="1:13" ht="17" customHeight="1" x14ac:dyDescent="0.2">
      <c r="A64" s="75"/>
      <c r="B64" s="144" t="s">
        <v>224</v>
      </c>
      <c r="C64" s="75"/>
      <c r="D64" s="75"/>
      <c r="E64" s="75"/>
      <c r="F64" s="75"/>
      <c r="K64" s="63"/>
      <c r="L64" s="113"/>
      <c r="M64" t="e">
        <f>MATCH(L64, B$3:B$190,0)</f>
        <v>#N/A</v>
      </c>
    </row>
    <row r="65" spans="1:12" ht="17" customHeight="1" x14ac:dyDescent="0.2">
      <c r="A65" s="75"/>
      <c r="B65" s="145" t="s">
        <v>312</v>
      </c>
      <c r="C65" s="75"/>
      <c r="D65" s="75"/>
      <c r="E65" s="75"/>
      <c r="F65" s="75"/>
      <c r="K65" s="63"/>
      <c r="L65" s="113"/>
    </row>
    <row r="66" spans="1:12" ht="17" customHeight="1" x14ac:dyDescent="0.2">
      <c r="A66" s="75"/>
      <c r="B66" s="145" t="s">
        <v>277</v>
      </c>
      <c r="C66" s="75"/>
      <c r="D66" s="75"/>
      <c r="E66" s="75"/>
      <c r="F66" s="75"/>
      <c r="K66" s="63"/>
    </row>
    <row r="67" spans="1:12" ht="17" customHeight="1" x14ac:dyDescent="0.2">
      <c r="A67" s="75"/>
      <c r="B67" s="145" t="s">
        <v>287</v>
      </c>
      <c r="C67" s="75"/>
      <c r="D67" s="75"/>
      <c r="E67" s="75"/>
      <c r="F67" s="75"/>
      <c r="K67" s="63"/>
    </row>
    <row r="68" spans="1:12" ht="17" customHeight="1" x14ac:dyDescent="0.2">
      <c r="A68" s="75"/>
      <c r="B68" s="145" t="s">
        <v>194</v>
      </c>
      <c r="C68" s="75"/>
      <c r="D68" s="75"/>
      <c r="E68" s="75"/>
      <c r="F68" s="75"/>
      <c r="K68" s="63"/>
    </row>
    <row r="69" spans="1:12" ht="17" customHeight="1" x14ac:dyDescent="0.2">
      <c r="A69" s="75"/>
      <c r="B69" s="145" t="s">
        <v>202</v>
      </c>
      <c r="C69" s="75"/>
      <c r="D69" s="75"/>
      <c r="E69" s="75"/>
      <c r="F69" s="75"/>
      <c r="K69" s="63"/>
    </row>
    <row r="70" spans="1:12" ht="17" customHeight="1" x14ac:dyDescent="0.2">
      <c r="A70" s="75"/>
      <c r="B70" s="145" t="s">
        <v>280</v>
      </c>
      <c r="C70" s="75"/>
      <c r="D70" s="75"/>
      <c r="E70" s="75"/>
      <c r="F70" s="75"/>
      <c r="K70" s="63"/>
    </row>
    <row r="71" spans="1:12" ht="17" customHeight="1" x14ac:dyDescent="0.2">
      <c r="A71" s="75"/>
      <c r="B71" s="145" t="s">
        <v>279</v>
      </c>
      <c r="C71" s="75"/>
      <c r="D71" s="75"/>
      <c r="E71" s="75"/>
      <c r="F71" s="75"/>
    </row>
    <row r="72" spans="1:12" ht="17" customHeight="1" x14ac:dyDescent="0.2">
      <c r="A72" s="75"/>
      <c r="B72" s="144" t="s">
        <v>234</v>
      </c>
      <c r="C72" s="75"/>
      <c r="D72" s="75"/>
      <c r="E72" s="75"/>
      <c r="F72" s="75"/>
    </row>
    <row r="73" spans="1:12" ht="17" customHeight="1" x14ac:dyDescent="0.2">
      <c r="A73" s="75"/>
      <c r="B73" s="145" t="s">
        <v>207</v>
      </c>
      <c r="C73" s="75"/>
      <c r="D73" s="75"/>
      <c r="E73" s="75"/>
      <c r="F73" s="75"/>
    </row>
    <row r="74" spans="1:12" ht="17" customHeight="1" x14ac:dyDescent="0.2">
      <c r="A74" s="75"/>
      <c r="B74" s="145" t="s">
        <v>163</v>
      </c>
      <c r="C74" s="75"/>
      <c r="D74" s="75"/>
      <c r="E74" s="75"/>
      <c r="F74" s="75"/>
    </row>
    <row r="75" spans="1:12" ht="17" customHeight="1" x14ac:dyDescent="0.2">
      <c r="A75" s="75"/>
      <c r="B75" s="145" t="s">
        <v>200</v>
      </c>
      <c r="C75" s="75"/>
      <c r="D75" s="75"/>
      <c r="E75" s="75"/>
      <c r="F75" s="75"/>
    </row>
    <row r="76" spans="1:12" ht="17" customHeight="1" x14ac:dyDescent="0.2">
      <c r="A76" s="75"/>
      <c r="B76" s="145" t="s">
        <v>181</v>
      </c>
      <c r="C76" s="75"/>
      <c r="D76" s="75"/>
      <c r="E76" s="75"/>
      <c r="F76" s="75"/>
    </row>
    <row r="77" spans="1:12" ht="17" customHeight="1" x14ac:dyDescent="0.2">
      <c r="A77" s="75"/>
      <c r="B77" s="145" t="s">
        <v>267</v>
      </c>
      <c r="C77" s="75"/>
      <c r="D77" s="75"/>
      <c r="E77" s="75"/>
      <c r="F77" s="75"/>
    </row>
    <row r="78" spans="1:12" ht="17" customHeight="1" x14ac:dyDescent="0.2">
      <c r="A78" s="75"/>
      <c r="B78" s="145" t="s">
        <v>275</v>
      </c>
      <c r="C78" s="75"/>
      <c r="D78" s="75"/>
      <c r="E78" s="75"/>
      <c r="F78" s="75"/>
    </row>
    <row r="79" spans="1:12" ht="17" customHeight="1" x14ac:dyDescent="0.2">
      <c r="A79" s="75"/>
      <c r="B79" s="145" t="s">
        <v>268</v>
      </c>
      <c r="C79" s="75"/>
      <c r="D79" s="75"/>
      <c r="E79" s="75"/>
      <c r="F79" s="75"/>
    </row>
    <row r="80" spans="1:12" ht="17" customHeight="1" x14ac:dyDescent="0.2">
      <c r="A80" s="75"/>
      <c r="B80" s="145" t="s">
        <v>304</v>
      </c>
      <c r="C80" s="75"/>
      <c r="D80" s="75"/>
      <c r="E80" s="75"/>
      <c r="F80" s="75"/>
    </row>
    <row r="81" spans="1:6" ht="17" customHeight="1" x14ac:dyDescent="0.2">
      <c r="A81" s="75"/>
      <c r="B81" s="145" t="s">
        <v>205</v>
      </c>
      <c r="C81" s="75"/>
      <c r="D81" s="75"/>
      <c r="E81" s="75"/>
      <c r="F81" s="75"/>
    </row>
    <row r="82" spans="1:6" ht="17" customHeight="1" x14ac:dyDescent="0.2">
      <c r="A82" s="75"/>
      <c r="B82" s="144" t="s">
        <v>222</v>
      </c>
      <c r="C82" s="75"/>
      <c r="D82" s="75"/>
      <c r="E82" s="75"/>
      <c r="F82" s="75"/>
    </row>
    <row r="83" spans="1:6" ht="17" customHeight="1" x14ac:dyDescent="0.2">
      <c r="A83" s="75"/>
      <c r="B83" s="145" t="s">
        <v>164</v>
      </c>
      <c r="C83" s="75"/>
      <c r="D83" s="75"/>
      <c r="E83" s="75"/>
      <c r="F83" s="75"/>
    </row>
    <row r="84" spans="1:6" ht="17" customHeight="1" x14ac:dyDescent="0.2">
      <c r="A84" s="75"/>
      <c r="B84" s="145" t="s">
        <v>306</v>
      </c>
      <c r="C84" s="75"/>
      <c r="D84" s="75"/>
      <c r="E84" s="75"/>
      <c r="F84" s="75"/>
    </row>
    <row r="85" spans="1:6" ht="17" customHeight="1" x14ac:dyDescent="0.2">
      <c r="A85" s="75"/>
      <c r="B85" s="144" t="s">
        <v>241</v>
      </c>
      <c r="C85" s="75"/>
      <c r="D85" s="75"/>
      <c r="E85" s="75"/>
      <c r="F85" s="75"/>
    </row>
    <row r="86" spans="1:6" ht="17" customHeight="1" x14ac:dyDescent="0.2">
      <c r="A86" s="75"/>
      <c r="B86" s="145" t="s">
        <v>307</v>
      </c>
      <c r="C86" s="75"/>
      <c r="D86" s="75"/>
      <c r="E86" s="75"/>
      <c r="F86" s="75"/>
    </row>
    <row r="87" spans="1:6" ht="17" customHeight="1" x14ac:dyDescent="0.2">
      <c r="A87" s="75"/>
      <c r="B87" s="145" t="s">
        <v>192</v>
      </c>
      <c r="C87" s="75"/>
      <c r="D87" s="75"/>
      <c r="E87" s="75"/>
      <c r="F87" s="75"/>
    </row>
    <row r="88" spans="1:6" ht="17" customHeight="1" x14ac:dyDescent="0.2">
      <c r="A88" s="75"/>
      <c r="B88" s="145" t="s">
        <v>295</v>
      </c>
      <c r="C88" s="75"/>
      <c r="D88" s="75"/>
      <c r="E88" s="75"/>
      <c r="F88" s="75"/>
    </row>
    <row r="89" spans="1:6" ht="17" customHeight="1" x14ac:dyDescent="0.2">
      <c r="A89" s="75"/>
      <c r="B89"/>
      <c r="C89" s="75"/>
      <c r="D89" s="75"/>
      <c r="E89" s="75"/>
      <c r="F89" s="75"/>
    </row>
    <row r="90" spans="1:6" ht="17" customHeight="1" x14ac:dyDescent="0.2">
      <c r="A90" s="75"/>
      <c r="B90"/>
      <c r="C90" s="75"/>
      <c r="D90" s="75"/>
      <c r="E90" s="75"/>
      <c r="F90" s="75"/>
    </row>
    <row r="91" spans="1:6" ht="17" customHeight="1" x14ac:dyDescent="0.2">
      <c r="A91" s="75"/>
      <c r="B91"/>
      <c r="C91" s="75"/>
      <c r="D91" s="75"/>
      <c r="E91" s="75"/>
      <c r="F91" s="75"/>
    </row>
    <row r="92" spans="1:6" ht="17" customHeight="1" x14ac:dyDescent="0.2">
      <c r="A92" s="75"/>
      <c r="B92"/>
      <c r="C92" s="75"/>
      <c r="D92" s="75"/>
      <c r="E92" s="75"/>
      <c r="F92" s="75"/>
    </row>
    <row r="93" spans="1:6" ht="17" customHeight="1" x14ac:dyDescent="0.2">
      <c r="A93" s="75"/>
      <c r="B93"/>
      <c r="C93" s="75"/>
      <c r="D93" s="75"/>
      <c r="E93" s="75"/>
      <c r="F93" s="75"/>
    </row>
    <row r="94" spans="1:6" ht="17" customHeight="1" x14ac:dyDescent="0.2">
      <c r="A94" s="75"/>
      <c r="B94"/>
      <c r="C94" s="75"/>
      <c r="D94" s="75"/>
      <c r="E94" s="75"/>
      <c r="F94" s="75"/>
    </row>
    <row r="95" spans="1:6" ht="17" customHeight="1" x14ac:dyDescent="0.2">
      <c r="A95" s="75"/>
      <c r="B95"/>
      <c r="C95" s="75"/>
      <c r="D95" s="75"/>
      <c r="E95" s="75"/>
      <c r="F95" s="75"/>
    </row>
    <row r="96" spans="1:6" ht="17" customHeight="1" x14ac:dyDescent="0.2">
      <c r="A96" s="75"/>
      <c r="B96"/>
      <c r="C96" s="75"/>
      <c r="D96" s="75"/>
      <c r="E96" s="75"/>
      <c r="F96" s="75"/>
    </row>
    <row r="97" spans="1:6" ht="17" customHeight="1" x14ac:dyDescent="0.2">
      <c r="A97" s="75"/>
      <c r="B97"/>
      <c r="C97" s="75"/>
      <c r="D97" s="75"/>
      <c r="E97" s="75"/>
      <c r="F97" s="75"/>
    </row>
    <row r="98" spans="1:6" ht="17" customHeight="1" x14ac:dyDescent="0.2">
      <c r="A98" s="75"/>
      <c r="B98"/>
      <c r="C98" s="75"/>
      <c r="D98" s="75"/>
      <c r="E98" s="75"/>
      <c r="F98" s="75"/>
    </row>
    <row r="99" spans="1:6" ht="17" customHeight="1" x14ac:dyDescent="0.2">
      <c r="A99" s="75"/>
      <c r="B99" s="113"/>
      <c r="C99" s="75"/>
      <c r="D99" s="75"/>
      <c r="E99" s="75"/>
      <c r="F99" s="75"/>
    </row>
    <row r="100" spans="1:6" ht="17" customHeight="1" x14ac:dyDescent="0.2">
      <c r="A100" s="75"/>
      <c r="B100" s="113"/>
      <c r="C100" s="75"/>
      <c r="D100" s="75"/>
      <c r="E100" s="75"/>
      <c r="F100" s="75"/>
    </row>
    <row r="101" spans="1:6" ht="17" customHeight="1" x14ac:dyDescent="0.2">
      <c r="A101" s="75"/>
      <c r="B101" s="127"/>
      <c r="C101" s="75"/>
      <c r="D101" s="75"/>
      <c r="E101" s="75"/>
      <c r="F101" s="75"/>
    </row>
    <row r="102" spans="1:6" ht="17" customHeight="1" x14ac:dyDescent="0.2">
      <c r="A102"/>
      <c r="B102" s="113"/>
      <c r="C102"/>
      <c r="D102"/>
      <c r="E102"/>
      <c r="F102"/>
    </row>
    <row r="103" spans="1:6" ht="17" customHeight="1" x14ac:dyDescent="0.2">
      <c r="A103"/>
      <c r="B103" s="113"/>
      <c r="C103"/>
      <c r="D103"/>
      <c r="E103"/>
      <c r="F103"/>
    </row>
    <row r="104" spans="1:6" ht="17" customHeight="1" x14ac:dyDescent="0.2">
      <c r="A104"/>
      <c r="B104" s="113"/>
      <c r="C104"/>
      <c r="D104"/>
      <c r="E104"/>
      <c r="F104"/>
    </row>
    <row r="105" spans="1:6" ht="17" customHeight="1" x14ac:dyDescent="0.2">
      <c r="A105"/>
      <c r="B105" s="113"/>
      <c r="C105"/>
      <c r="D105"/>
      <c r="E105"/>
      <c r="F105"/>
    </row>
    <row r="106" spans="1:6" ht="17" customHeight="1" x14ac:dyDescent="0.2">
      <c r="A106"/>
      <c r="B106" s="113"/>
      <c r="C106"/>
      <c r="D106"/>
      <c r="E106"/>
      <c r="F106"/>
    </row>
    <row r="107" spans="1:6" ht="17" customHeight="1" x14ac:dyDescent="0.2">
      <c r="A107"/>
      <c r="B107" s="113"/>
      <c r="C107"/>
      <c r="D107"/>
      <c r="E107"/>
      <c r="F107"/>
    </row>
    <row r="108" spans="1:6" ht="17" customHeight="1" x14ac:dyDescent="0.2">
      <c r="A108"/>
      <c r="B108" s="113"/>
      <c r="C108"/>
      <c r="D108"/>
      <c r="E108"/>
      <c r="F108"/>
    </row>
    <row r="109" spans="1:6" ht="17" customHeight="1" x14ac:dyDescent="0.2">
      <c r="A109"/>
      <c r="B109" s="113"/>
      <c r="C109"/>
      <c r="D109"/>
      <c r="E109"/>
      <c r="F109"/>
    </row>
    <row r="110" spans="1:6" ht="17" customHeight="1" x14ac:dyDescent="0.2">
      <c r="A110"/>
      <c r="B110" s="113"/>
      <c r="C110"/>
      <c r="D110"/>
      <c r="E110"/>
      <c r="F110"/>
    </row>
    <row r="111" spans="1:6" ht="17" customHeight="1" x14ac:dyDescent="0.2">
      <c r="A111"/>
      <c r="B111" s="127"/>
      <c r="C111"/>
      <c r="D111"/>
      <c r="E111"/>
      <c r="F111"/>
    </row>
    <row r="112" spans="1:6" ht="17" customHeight="1" x14ac:dyDescent="0.2">
      <c r="A112"/>
      <c r="B112" s="127"/>
      <c r="C112"/>
      <c r="D112"/>
      <c r="E112"/>
      <c r="F112"/>
    </row>
    <row r="113" spans="1:6" ht="17" customHeight="1" x14ac:dyDescent="0.2">
      <c r="A113"/>
      <c r="B113" s="113"/>
      <c r="C113"/>
      <c r="D113"/>
      <c r="E113"/>
      <c r="F113"/>
    </row>
    <row r="114" spans="1:6" ht="17" customHeight="1" x14ac:dyDescent="0.2">
      <c r="A114"/>
      <c r="B114" s="127"/>
      <c r="C114"/>
      <c r="D114"/>
      <c r="E114"/>
      <c r="F114"/>
    </row>
    <row r="115" spans="1:6" ht="17" customHeight="1" x14ac:dyDescent="0.2">
      <c r="A115"/>
      <c r="B115" s="113"/>
      <c r="C115"/>
      <c r="D115"/>
      <c r="E115"/>
      <c r="F115"/>
    </row>
    <row r="116" spans="1:6" ht="17" customHeight="1" x14ac:dyDescent="0.2">
      <c r="A116"/>
      <c r="B116" s="113"/>
      <c r="C116"/>
      <c r="D116"/>
      <c r="E116"/>
      <c r="F116"/>
    </row>
    <row r="117" spans="1:6" ht="17" customHeight="1" x14ac:dyDescent="0.2">
      <c r="A117"/>
      <c r="B117" s="113"/>
      <c r="C117"/>
      <c r="D117"/>
      <c r="E117"/>
      <c r="F117"/>
    </row>
    <row r="118" spans="1:6" ht="17" customHeight="1" x14ac:dyDescent="0.2">
      <c r="A118"/>
      <c r="B118" s="127"/>
      <c r="C118"/>
      <c r="D118"/>
      <c r="E118"/>
      <c r="F118"/>
    </row>
    <row r="119" spans="1:6" ht="17" customHeight="1" x14ac:dyDescent="0.2">
      <c r="A119"/>
      <c r="B119" s="113"/>
      <c r="C119"/>
      <c r="D119"/>
      <c r="E119"/>
      <c r="F119"/>
    </row>
    <row r="120" spans="1:6" ht="17" customHeight="1" x14ac:dyDescent="0.2">
      <c r="B120" s="127"/>
    </row>
    <row r="121" spans="1:6" ht="17" customHeight="1" x14ac:dyDescent="0.2">
      <c r="A121"/>
      <c r="B121" s="113"/>
      <c r="C121"/>
      <c r="D121"/>
      <c r="E121"/>
      <c r="F121"/>
    </row>
    <row r="122" spans="1:6" ht="17" customHeight="1" x14ac:dyDescent="0.2">
      <c r="B122" s="113"/>
    </row>
    <row r="123" spans="1:6" ht="17" customHeight="1" x14ac:dyDescent="0.2">
      <c r="B123" s="127"/>
    </row>
    <row r="124" spans="1:6" ht="17" customHeight="1" x14ac:dyDescent="0.2">
      <c r="A124"/>
      <c r="B124" s="113"/>
      <c r="C124"/>
      <c r="D124"/>
      <c r="E124"/>
      <c r="F124"/>
    </row>
    <row r="125" spans="1:6" ht="17" customHeight="1" x14ac:dyDescent="0.2">
      <c r="A125"/>
      <c r="B125" s="113"/>
      <c r="C125"/>
      <c r="D125"/>
      <c r="E125"/>
      <c r="F125"/>
    </row>
    <row r="126" spans="1:6" ht="17" customHeight="1" x14ac:dyDescent="0.2">
      <c r="B126" s="113"/>
    </row>
    <row r="127" spans="1:6" ht="17" customHeight="1" x14ac:dyDescent="0.2">
      <c r="A127"/>
      <c r="B127" s="127"/>
      <c r="C127"/>
      <c r="D127"/>
      <c r="E127"/>
      <c r="F127"/>
    </row>
    <row r="128" spans="1:6" ht="17" customHeight="1" x14ac:dyDescent="0.2">
      <c r="A128"/>
      <c r="B128" s="113"/>
      <c r="C128"/>
      <c r="D128"/>
      <c r="E128"/>
      <c r="F128"/>
    </row>
    <row r="129" spans="1:6" ht="17" customHeight="1" x14ac:dyDescent="0.2">
      <c r="A129"/>
      <c r="B129" s="113"/>
      <c r="C129"/>
      <c r="D129"/>
      <c r="E129"/>
      <c r="F129"/>
    </row>
    <row r="130" spans="1:6" ht="17" customHeight="1" x14ac:dyDescent="0.2">
      <c r="A130"/>
      <c r="B130" s="113"/>
      <c r="C130"/>
      <c r="D130"/>
      <c r="E130"/>
      <c r="F130"/>
    </row>
    <row r="131" spans="1:6" ht="17" customHeight="1" x14ac:dyDescent="0.2">
      <c r="B131" s="113"/>
    </row>
    <row r="132" spans="1:6" ht="17" customHeight="1" x14ac:dyDescent="0.2">
      <c r="A132"/>
      <c r="B132"/>
      <c r="C132"/>
      <c r="D132"/>
      <c r="E132"/>
      <c r="F132"/>
    </row>
    <row r="133" spans="1:6" ht="17" customHeight="1" x14ac:dyDescent="0.2">
      <c r="A133"/>
      <c r="B133"/>
      <c r="C133"/>
      <c r="D133"/>
      <c r="E133"/>
      <c r="F133"/>
    </row>
    <row r="134" spans="1:6" ht="17" customHeight="1" x14ac:dyDescent="0.2">
      <c r="A134"/>
      <c r="B134"/>
      <c r="C134"/>
      <c r="D134"/>
      <c r="E134"/>
      <c r="F134"/>
    </row>
    <row r="135" spans="1:6" ht="17" customHeight="1" x14ac:dyDescent="0.2">
      <c r="A135"/>
      <c r="B135"/>
      <c r="C135"/>
      <c r="D135"/>
      <c r="E135"/>
      <c r="F135"/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 s="75"/>
      <c r="C144"/>
      <c r="D144"/>
      <c r="E144"/>
      <c r="F144"/>
    </row>
    <row r="145" spans="1:6" ht="17" customHeight="1" x14ac:dyDescent="0.2">
      <c r="A145"/>
      <c r="B145" s="75"/>
      <c r="C145"/>
      <c r="D145"/>
      <c r="E145"/>
      <c r="F145"/>
    </row>
    <row r="146" spans="1:6" ht="17" customHeight="1" x14ac:dyDescent="0.2">
      <c r="B146" s="75"/>
    </row>
    <row r="147" spans="1:6" ht="17" customHeight="1" x14ac:dyDescent="0.2">
      <c r="A147"/>
      <c r="B147" s="75"/>
      <c r="C147"/>
      <c r="D147"/>
      <c r="E147"/>
      <c r="F147"/>
    </row>
    <row r="148" spans="1:6" ht="17" customHeight="1" x14ac:dyDescent="0.2">
      <c r="A148"/>
      <c r="B148" s="75"/>
      <c r="C148"/>
      <c r="D148"/>
      <c r="E148"/>
      <c r="F148"/>
    </row>
    <row r="149" spans="1:6" ht="17" customHeight="1" x14ac:dyDescent="0.2">
      <c r="A149"/>
      <c r="B149" s="75"/>
      <c r="C149"/>
      <c r="D149"/>
      <c r="E149"/>
      <c r="F149"/>
    </row>
    <row r="150" spans="1:6" ht="17" customHeight="1" x14ac:dyDescent="0.2">
      <c r="A150"/>
      <c r="B150" s="75"/>
      <c r="C150"/>
      <c r="D150"/>
      <c r="E150"/>
      <c r="F150"/>
    </row>
    <row r="151" spans="1:6" ht="17" customHeight="1" x14ac:dyDescent="0.2">
      <c r="A151"/>
      <c r="B151" s="75"/>
      <c r="C151"/>
      <c r="D151"/>
      <c r="E151"/>
      <c r="F151"/>
    </row>
    <row r="152" spans="1:6" ht="17" customHeight="1" x14ac:dyDescent="0.2">
      <c r="B152" s="75"/>
    </row>
    <row r="153" spans="1:6" ht="17" customHeight="1" x14ac:dyDescent="0.2">
      <c r="B153" s="75"/>
    </row>
    <row r="154" spans="1:6" ht="17" customHeight="1" x14ac:dyDescent="0.2">
      <c r="B154" s="75"/>
    </row>
    <row r="155" spans="1:6" ht="17" customHeight="1" x14ac:dyDescent="0.2">
      <c r="B155" s="75"/>
    </row>
    <row r="156" spans="1:6" ht="17" customHeight="1" x14ac:dyDescent="0.2">
      <c r="B156" s="75"/>
    </row>
    <row r="157" spans="1:6" ht="17" customHeight="1" x14ac:dyDescent="0.2">
      <c r="B157" s="75"/>
    </row>
    <row r="158" spans="1:6" ht="17" customHeight="1" x14ac:dyDescent="0.2">
      <c r="B158" s="75"/>
    </row>
    <row r="159" spans="1:6" ht="17" customHeight="1" x14ac:dyDescent="0.2">
      <c r="B159" s="75"/>
    </row>
    <row r="160" spans="1:6" ht="17" customHeight="1" x14ac:dyDescent="0.2">
      <c r="B160" s="75"/>
    </row>
    <row r="161" spans="2:2" ht="17" customHeight="1" x14ac:dyDescent="0.2">
      <c r="B161" s="75"/>
    </row>
    <row r="162" spans="2:2" ht="17" customHeight="1" x14ac:dyDescent="0.2">
      <c r="B162" s="75"/>
    </row>
    <row r="163" spans="2:2" ht="17" customHeight="1" x14ac:dyDescent="0.2">
      <c r="B163" s="75"/>
    </row>
    <row r="164" spans="2:2" ht="17" customHeight="1" x14ac:dyDescent="0.2">
      <c r="B164" s="63"/>
    </row>
    <row r="165" spans="2:2" ht="17" customHeight="1" x14ac:dyDescent="0.2">
      <c r="B165" s="75"/>
    </row>
    <row r="166" spans="2:2" ht="17" customHeight="1" x14ac:dyDescent="0.2">
      <c r="B166" s="75"/>
    </row>
    <row r="167" spans="2:2" ht="17" customHeight="1" x14ac:dyDescent="0.2">
      <c r="B167" s="75"/>
    </row>
    <row r="168" spans="2:2" ht="17" customHeight="1" x14ac:dyDescent="0.2">
      <c r="B168" s="75"/>
    </row>
    <row r="169" spans="2:2" ht="17" customHeight="1" x14ac:dyDescent="0.2">
      <c r="B169" s="75"/>
    </row>
    <row r="170" spans="2:2" ht="17" customHeight="1" x14ac:dyDescent="0.2">
      <c r="B170" s="75"/>
    </row>
    <row r="171" spans="2:2" ht="17" customHeight="1" x14ac:dyDescent="0.2">
      <c r="B171" s="75"/>
    </row>
    <row r="172" spans="2:2" ht="17" customHeight="1" x14ac:dyDescent="0.2">
      <c r="B172" s="75"/>
    </row>
    <row r="173" spans="2:2" ht="17" customHeight="1" x14ac:dyDescent="0.2">
      <c r="B173" s="75"/>
    </row>
    <row r="174" spans="2:2" ht="17" customHeight="1" x14ac:dyDescent="0.2">
      <c r="B174" s="75"/>
    </row>
    <row r="175" spans="2:2" ht="17" customHeight="1" x14ac:dyDescent="0.2">
      <c r="B175" s="75"/>
    </row>
    <row r="176" spans="2:2" ht="17" customHeight="1" x14ac:dyDescent="0.2">
      <c r="B176" s="75"/>
    </row>
    <row r="177" spans="2:2" ht="17" customHeight="1" x14ac:dyDescent="0.2">
      <c r="B177" s="75"/>
    </row>
    <row r="178" spans="2:2" ht="17" customHeight="1" x14ac:dyDescent="0.2">
      <c r="B178" s="75"/>
    </row>
    <row r="179" spans="2:2" ht="17" customHeight="1" x14ac:dyDescent="0.2">
      <c r="B179" s="75"/>
    </row>
    <row r="180" spans="2:2" ht="17" customHeight="1" x14ac:dyDescent="0.2">
      <c r="B180" s="75"/>
    </row>
    <row r="181" spans="2:2" ht="17" customHeight="1" x14ac:dyDescent="0.2">
      <c r="B181" s="75"/>
    </row>
    <row r="182" spans="2:2" ht="17" customHeight="1" x14ac:dyDescent="0.2">
      <c r="B182" s="75"/>
    </row>
    <row r="183" spans="2:2" ht="17" customHeight="1" x14ac:dyDescent="0.2">
      <c r="B183" s="75"/>
    </row>
    <row r="184" spans="2:2" ht="17" customHeight="1" x14ac:dyDescent="0.2">
      <c r="B184" s="63"/>
    </row>
    <row r="185" spans="2:2" ht="17" customHeight="1" x14ac:dyDescent="0.2">
      <c r="B185" s="75"/>
    </row>
    <row r="186" spans="2:2" ht="17" customHeight="1" x14ac:dyDescent="0.2">
      <c r="B186" s="75"/>
    </row>
    <row r="187" spans="2:2" ht="17" customHeight="1" x14ac:dyDescent="0.2">
      <c r="B187" s="75"/>
    </row>
    <row r="188" spans="2:2" ht="17" customHeight="1" x14ac:dyDescent="0.2">
      <c r="B188" s="75"/>
    </row>
    <row r="189" spans="2:2" ht="17" customHeight="1" x14ac:dyDescent="0.2">
      <c r="B189" s="75"/>
    </row>
    <row r="190" spans="2:2" ht="17" customHeight="1" x14ac:dyDescent="0.2">
      <c r="B190" s="75"/>
    </row>
    <row r="191" spans="2:2" ht="17" customHeight="1" x14ac:dyDescent="0.2">
      <c r="B191" s="75"/>
    </row>
    <row r="192" spans="2:2" ht="17" customHeight="1" x14ac:dyDescent="0.2">
      <c r="B192" s="75"/>
    </row>
    <row r="193" spans="2:2" ht="17" customHeight="1" x14ac:dyDescent="0.2">
      <c r="B193" s="75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</sheetData>
  <sortState xmlns:xlrd2="http://schemas.microsoft.com/office/spreadsheetml/2017/richdata2" ref="C3:C9">
    <sortCondition ref="C3:C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2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9" width="11.83203125" style="2" customWidth="1"/>
    <col min="10" max="10" width="11.83203125" style="2" hidden="1" customWidth="1"/>
    <col min="11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9" width="11.83203125" customWidth="1"/>
    <col min="30" max="30" width="11.83203125" hidden="1" customWidth="1"/>
    <col min="31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49" width="11.83203125" customWidth="1"/>
    <col min="50" max="50" width="11.83203125" hidden="1" customWidth="1"/>
    <col min="51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9" width="11.83203125" customWidth="1"/>
    <col min="70" max="70" width="11.83203125" hidden="1" customWidth="1"/>
    <col min="71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55" t="s">
        <v>151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8"/>
      <c r="U16" s="155" t="s">
        <v>152</v>
      </c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7"/>
      <c r="AG16" s="157"/>
      <c r="AH16" s="157"/>
      <c r="AI16" s="157"/>
      <c r="AJ16" s="157"/>
      <c r="AK16" s="157"/>
      <c r="AL16" s="157"/>
      <c r="AM16" s="158"/>
      <c r="AN16" s="18"/>
      <c r="AO16" s="155" t="s">
        <v>153</v>
      </c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60"/>
      <c r="BH16" s="18"/>
      <c r="BI16" s="155" t="s">
        <v>154</v>
      </c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60"/>
    </row>
    <row r="17" spans="1:79" s="22" customFormat="1" ht="32" customHeight="1" thickBot="1" x14ac:dyDescent="0.25">
      <c r="A17" s="58" t="s">
        <v>32</v>
      </c>
      <c r="B17" s="49" t="s">
        <v>87</v>
      </c>
      <c r="C17" s="49" t="s">
        <v>88</v>
      </c>
      <c r="D17" s="49" t="s">
        <v>155</v>
      </c>
      <c r="E17" s="49" t="s">
        <v>180</v>
      </c>
      <c r="F17" s="49" t="s">
        <v>148</v>
      </c>
      <c r="G17" s="50" t="s">
        <v>191</v>
      </c>
      <c r="H17" s="50" t="s">
        <v>199</v>
      </c>
      <c r="I17" s="50" t="s">
        <v>198</v>
      </c>
      <c r="J17" s="50" t="s">
        <v>150</v>
      </c>
      <c r="K17" s="50" t="s">
        <v>42</v>
      </c>
      <c r="L17" s="50" t="s">
        <v>135</v>
      </c>
      <c r="M17" s="50" t="s">
        <v>136</v>
      </c>
      <c r="N17" s="50" t="s">
        <v>140</v>
      </c>
      <c r="O17" s="50" t="s">
        <v>147</v>
      </c>
      <c r="P17" s="50" t="s">
        <v>145</v>
      </c>
      <c r="Q17" s="101" t="s">
        <v>146</v>
      </c>
      <c r="R17" s="92" t="s">
        <v>141</v>
      </c>
      <c r="S17" s="92" t="s">
        <v>137</v>
      </c>
      <c r="T17" s="21"/>
      <c r="U17" s="35" t="s">
        <v>32</v>
      </c>
      <c r="V17" s="49" t="s">
        <v>87</v>
      </c>
      <c r="W17" s="49" t="s">
        <v>88</v>
      </c>
      <c r="X17" s="49" t="s">
        <v>155</v>
      </c>
      <c r="Y17" s="49" t="s">
        <v>180</v>
      </c>
      <c r="Z17" s="49" t="s">
        <v>148</v>
      </c>
      <c r="AA17" s="50" t="s">
        <v>191</v>
      </c>
      <c r="AB17" s="50" t="s">
        <v>199</v>
      </c>
      <c r="AC17" s="50" t="s">
        <v>198</v>
      </c>
      <c r="AD17" s="50" t="s">
        <v>150</v>
      </c>
      <c r="AE17" s="36" t="s">
        <v>42</v>
      </c>
      <c r="AF17" s="36" t="s">
        <v>138</v>
      </c>
      <c r="AG17" s="36" t="s">
        <v>139</v>
      </c>
      <c r="AH17" s="36" t="s">
        <v>142</v>
      </c>
      <c r="AI17" s="50" t="s">
        <v>147</v>
      </c>
      <c r="AJ17" s="50" t="s">
        <v>145</v>
      </c>
      <c r="AK17" s="101" t="s">
        <v>146</v>
      </c>
      <c r="AL17" s="92" t="s">
        <v>141</v>
      </c>
      <c r="AM17" s="28" t="s">
        <v>137</v>
      </c>
      <c r="AN17" s="21"/>
      <c r="AO17" s="48" t="s">
        <v>32</v>
      </c>
      <c r="AP17" s="49" t="s">
        <v>87</v>
      </c>
      <c r="AQ17" s="49" t="s">
        <v>88</v>
      </c>
      <c r="AR17" s="49" t="s">
        <v>155</v>
      </c>
      <c r="AS17" s="49" t="s">
        <v>180</v>
      </c>
      <c r="AT17" s="49" t="s">
        <v>148</v>
      </c>
      <c r="AU17" s="50" t="s">
        <v>191</v>
      </c>
      <c r="AV17" s="50" t="s">
        <v>199</v>
      </c>
      <c r="AW17" s="50" t="s">
        <v>198</v>
      </c>
      <c r="AX17" s="50" t="s">
        <v>150</v>
      </c>
      <c r="AY17" s="50" t="s">
        <v>42</v>
      </c>
      <c r="AZ17" s="50" t="s">
        <v>138</v>
      </c>
      <c r="BA17" s="50" t="s">
        <v>139</v>
      </c>
      <c r="BB17" s="50" t="s">
        <v>142</v>
      </c>
      <c r="BC17" s="50" t="s">
        <v>147</v>
      </c>
      <c r="BD17" s="50" t="s">
        <v>145</v>
      </c>
      <c r="BE17" s="101" t="s">
        <v>146</v>
      </c>
      <c r="BF17" s="50" t="s">
        <v>143</v>
      </c>
      <c r="BG17" s="28" t="s">
        <v>137</v>
      </c>
      <c r="BH17" s="21"/>
      <c r="BI17" s="39" t="s">
        <v>32</v>
      </c>
      <c r="BJ17" s="49" t="s">
        <v>87</v>
      </c>
      <c r="BK17" s="49" t="s">
        <v>88</v>
      </c>
      <c r="BL17" s="49" t="s">
        <v>155</v>
      </c>
      <c r="BM17" s="49" t="s">
        <v>180</v>
      </c>
      <c r="BN17" s="49" t="s">
        <v>148</v>
      </c>
      <c r="BO17" s="50" t="s">
        <v>191</v>
      </c>
      <c r="BP17" s="50" t="s">
        <v>199</v>
      </c>
      <c r="BQ17" s="50" t="s">
        <v>198</v>
      </c>
      <c r="BR17" s="50" t="s">
        <v>150</v>
      </c>
      <c r="BS17" s="50" t="s">
        <v>42</v>
      </c>
      <c r="BT17" s="50" t="s">
        <v>135</v>
      </c>
      <c r="BU17" s="50" t="s">
        <v>136</v>
      </c>
      <c r="BV17" s="50" t="s">
        <v>140</v>
      </c>
      <c r="BW17" s="50" t="s">
        <v>147</v>
      </c>
      <c r="BX17" s="50" t="s">
        <v>145</v>
      </c>
      <c r="BY17" s="101" t="s">
        <v>146</v>
      </c>
      <c r="BZ17" s="50" t="s">
        <v>144</v>
      </c>
      <c r="CA17" s="28" t="s">
        <v>137</v>
      </c>
    </row>
    <row r="18" spans="1:79" ht="16" x14ac:dyDescent="0.2">
      <c r="A18" s="103" t="s">
        <v>156</v>
      </c>
      <c r="B18" s="38">
        <f>_xlfn.IFNA(INDEX('RD1 Eagle'!$I$2:$I$154,MATCH(Men_5[[#This Row],[Rider]],'RD1 Eagle'!$F$2:$F$154,0)),"")</f>
        <v>380</v>
      </c>
      <c r="C18" s="38">
        <f>_xlfn.IFNA(INDEX('RD2 Shepherds'!$I$2:$I$143,MATCH(Men_5[[#This Row],[Rider]],'RD2 Shepherds'!$F$2:$F$143,0)),"")</f>
        <v>450</v>
      </c>
      <c r="D18" s="38" t="str">
        <f>_xlfn.IFNA(INDEX('RD3 XCO Sheps'!$I$2:$I$190,MATCH(Men_5[[#This Row],[Rider]],'RD3 XCO Sheps'!$F$2:$F$190,0)),"")</f>
        <v/>
      </c>
      <c r="E18" s="38">
        <f>_xlfn.IFNA(INDEX('RD4 Ohalloran'!$I$2:$I$180,MATCH(Men_5[[#This Row],[Rider]],'RD4 Ohalloran'!$F$2:$F$180,0)),"")</f>
        <v>390</v>
      </c>
      <c r="F18" s="38">
        <f>_xlfn.IFNA(INDEX('RD5 Craigburn'!$I$2:$I$164,MATCH(Men_5[[#This Row],[Rider]],'RD5 Craigburn'!$F$2:$F$164,0)),"")</f>
        <v>500</v>
      </c>
      <c r="G18" s="38" t="str">
        <f>_xlfn.IFNA(INDEX('RD6 Kinchina'!$I$2:$I$200,MATCH(Men_5[[#This Row],[Rider]],'RD6 Kinchina'!$F$2:$F$200,0)),"")</f>
        <v/>
      </c>
      <c r="H18" s="38" t="str">
        <f>_xlfn.IFNA(INDEX('RD7 O''Hallaron'!$I$2:$I$190,MATCH(Men_5[[#This Row],[Rider]],'RD7 O''Hallaron'!$F$2:$F$201,0)),"")</f>
        <v/>
      </c>
      <c r="I18" s="38" t="str">
        <f>_xlfn.IFNA(INDEX('RD8 Fox Creek'!$I$2:$I$204,MATCH(Men_5[[#This Row],[Rider]],'RD8 Fox Creek'!$F$2:$F$204,0)),"")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4</v>
      </c>
      <c r="L18" s="38">
        <f>3-COUNTBLANK(Men_5[[#This Row],[RD1 XCC Eagle]:[RD3 XCO Sheps]])</f>
        <v>2</v>
      </c>
      <c r="M18" s="38">
        <f>4-COUNTBLANK(Men_5[[#This Row],[RD4 XCO Ohal]:[RD7 XCO O''Halloran]])</f>
        <v>2</v>
      </c>
      <c r="N18" s="59">
        <f>2-COUNTBLANK(Men_5[[#This Row],[RD8 XCO Fox Creek]:[RD9 XCO Willowie]])</f>
        <v>0</v>
      </c>
      <c r="O18" s="59" cm="1">
        <f t="array" ref="O18">IF(Men_5[[#This Row],[Number of Rounds]]&lt;=6,SUM(IF(ISNA(B18:J18),0,B18:J18)),SUM(LARGE(B18:J18,{1,2,3,4,5,6})))</f>
        <v>1720</v>
      </c>
      <c r="P18" s="59" cm="1">
        <f t="array" ref="P18">IF(Men_5[[#This Row],[Number of Rounds XCM]]&lt;=3,SUM(IF(ISNA(E18:H18),0,E18:H18)),SUM(LARGE(E18:H18,{1,2,3})))</f>
        <v>890</v>
      </c>
      <c r="Q18" s="59">
        <f>SUM(Men_5[[#This Row],[RD8 XCO Fox Creek]:[RD9 XCO Willowie]])</f>
        <v>0</v>
      </c>
      <c r="R18" s="59">
        <f>Men_5[[#This Row],[Best 6 of 8 Overall]]+Men_5[[#This Row],[Best 3 of 4 XCM]]+Men_5[[#This Row],[Total of 2 XCO]]</f>
        <v>2610</v>
      </c>
      <c r="S18" s="51" cm="1">
        <f t="array" ref="S18">68-SUM(IF(O18&gt;$O$18:$O$212,1/COUNTIF($O$18:$O$212,$O$18:$O$212)))</f>
        <v>1.0000000000005969</v>
      </c>
      <c r="T18" s="18"/>
      <c r="U18" s="103" t="s">
        <v>167</v>
      </c>
      <c r="V18" s="77">
        <f>_xlfn.IFNA(INDEX('RD1 Eagle'!$I$2:$I$154,MATCH(Women6[[#This Row],[Rider]],'RD1 Eagle'!$F$2:$F$154,0)),"")</f>
        <v>450</v>
      </c>
      <c r="W18" s="38">
        <f>_xlfn.IFNA(INDEX('RD2 Shepherds'!$I$2:$I$143,MATCH(Women6[[#This Row],[Rider]],'RD2 Shepherds'!$F$2:$F$143,0)),"")</f>
        <v>450</v>
      </c>
      <c r="X18" s="34" t="str">
        <f>_xlfn.IFNA(INDEX('RD3 XCO Sheps'!$I$2:$I$190,MATCH(Women6[[#This Row],[Rider]],'RD3 XCO Sheps'!$F$2:$F$190,0)),"")</f>
        <v/>
      </c>
      <c r="Y18" s="34">
        <f>_xlfn.IFNA(INDEX('RD4 Ohalloran'!$I$2:$I$184,MATCH(Women6[[#This Row],[Rider]],'RD4 Ohalloran'!$F$2:$F$184,0)),"")</f>
        <v>500</v>
      </c>
      <c r="Z18" s="34">
        <f>_xlfn.IFNA(INDEX('RD5 Craigburn'!$I$2:$I$164,MATCH(Women6[[#This Row],[Rider]],'RD5 Craigburn'!$F$2:$F$164,0)),"")</f>
        <v>500</v>
      </c>
      <c r="AA18" s="34" t="str">
        <f>_xlfn.IFNA(INDEX('RD6 Kinchina'!$I$2:$I$199,MATCH(Women6[[#This Row],[Rider]],'RD6 Kinchina'!$F$2:$F$199,0)),"")</f>
        <v/>
      </c>
      <c r="AB18" s="34" t="str">
        <f>_xlfn.IFNA(INDEX('RD7 O''Hallaron'!$I$2:$I$190,MATCH(Women6[[#This Row],[Rider]],'RD7 O''Hallaron'!$F$2:$F$201,0)),"")</f>
        <v/>
      </c>
      <c r="AC18" s="34" t="str">
        <f>_xlfn.IFNA(INDEX('RD8 Fox Creek'!$I$2:$I$204,MATCH(Women6[[#This Row],[Rider]],'RD8 Fox Creek'!$F$2:$F$204,0)),"")</f>
        <v/>
      </c>
      <c r="AD18" s="34" t="str">
        <f>_xlfn.IFNA(INDEX('RD9 XCM Melrose W'!$I$2:$I$194,MATCH(Women6[[#This Row],[Rider]],'RD9 XCM Melrose W'!$F$2:$F$194,0)),"")</f>
        <v/>
      </c>
      <c r="AE18" s="154">
        <f>9-COUNTBLANK(Women6[[#This Row],[RD1 XCC Eagle]:[RD9 XCO Willowie]])</f>
        <v>4</v>
      </c>
      <c r="AF18" s="154">
        <f>3-COUNTBLANK(Women6[[#This Row],[RD1 XCC Eagle]:[RD3 XCO Sheps]])</f>
        <v>2</v>
      </c>
      <c r="AG18" s="154">
        <f>4-COUNTBLANK(Women6[[#This Row],[RD4 XCO Ohal]:[RD7 XCO O''Halloran]])</f>
        <v>2</v>
      </c>
      <c r="AH18" s="154">
        <f>2-COUNTBLANK(Women6[[#This Row],[RD8 XCO Fox Creek]:[RD9 XCO Willowie]])</f>
        <v>0</v>
      </c>
      <c r="AI18" s="59" cm="1">
        <f t="array" ref="AI18">IF(Women6[[#This Row],[Number of Rounds]]&lt;=6,SUM(IF(ISNA(V18:AD18),0,V18:AD18)),SUM(LARGE(V18:AD18,{1,2,3,4,5,6})))</f>
        <v>1900</v>
      </c>
      <c r="AJ18" s="56" cm="1">
        <f t="array" ref="AJ18">IF(Women6[[#This Row],[Number of XCM Rounds]]&lt;=3,SUM(IF(ISNA(Y18:AB18),0,Y18:AB18)),SUM(LARGE(Y18:AB18,{1,2,3})))</f>
        <v>1000</v>
      </c>
      <c r="AK18" s="56">
        <f>SUM(Women6[[#This Row],[RD8 XCO Fox Creek]:[RD9 XCO Willowie]])</f>
        <v>0</v>
      </c>
      <c r="AL18" s="56">
        <f>Women6[[#This Row],[Best 3 of 4 XCM]]+Women6[[#This Row],[Best 6 of 8 Overall]]+Women6[[#This Row],[Total of 2 XCO]]</f>
        <v>2900</v>
      </c>
      <c r="AM18" s="51" cm="1">
        <f t="array" ref="AM18">29-SUM(IF(AI18&gt;$AI$18:$AI$52,1/COUNTIF($AI$18:$AI$52,$AI$18:$AI$52)))</f>
        <v>1.0000000000000036</v>
      </c>
      <c r="AN18" s="18"/>
      <c r="AO18" s="103" t="s">
        <v>177</v>
      </c>
      <c r="AP18" s="34">
        <f>_xlfn.IFNA(INDEX('RD1 Eagle'!$I$2:$I$154,MATCH(Junior7[[#This Row],[Rider]],'RD1 Eagle'!$F$2:$F$154,0)),"")</f>
        <v>500</v>
      </c>
      <c r="AQ18" s="34">
        <f>_xlfn.IFNA(INDEX('RD2 Shepherds'!$I$2:$I$143,MATCH(Junior7[[#This Row],[Rider]],'RD2 Shepherds'!$F$2:$F$143,0)),"")</f>
        <v>500</v>
      </c>
      <c r="AR18" s="34" t="str">
        <f>_xlfn.IFNA(INDEX('RD3 XCO Sheps'!$I$2:$I$190,MATCH(Junior7[[#This Row],[Rider]],'RD3 XCO Sheps'!$F$2:$F$190,0)),"")</f>
        <v/>
      </c>
      <c r="AS18" s="34">
        <f>_xlfn.IFNA(INDEX('RD4 Ohalloran'!$I$2:$I$184,MATCH(Junior7[[#This Row],[Rider]],'RD4 Ohalloran'!$F$2:$F$184,0)),"")</f>
        <v>500</v>
      </c>
      <c r="AT18" s="34">
        <f>_xlfn.IFNA(INDEX('RD5 Craigburn'!$I$2:$I$168,MATCH(Junior7[[#This Row],[Rider]],'RD5 Craigburn'!$F$2:$F$168,0)),"")</f>
        <v>500</v>
      </c>
      <c r="AU18" s="34" t="str">
        <f>_xlfn.IFNA(INDEX('RD6 Kinchina'!$I$2:$I$199,MATCH(Junior7[[#This Row],[Rider]],'RD6 Kinchina'!$F$2:$F$199,0)),"")</f>
        <v/>
      </c>
      <c r="AV18" s="34" t="str">
        <f>_xlfn.IFNA(INDEX('RD7 O''Hallaron'!$I$2:$I$190,MATCH(Junior7[[#This Row],[Rider]],'RD7 O''Hallaron'!$F$2:$F$201,0)),"")</f>
        <v/>
      </c>
      <c r="AW18" s="34" t="str">
        <f>_xlfn.IFNA(INDEX('RD8 Fox Creek'!$I$2:$I$204,MATCH(Junior7[[#This Row],[Rider]],'RD8 Fox Creek'!$F$2:$F$204,0)),"")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4</v>
      </c>
      <c r="AZ18" s="40">
        <f>3-COUNTBLANK(Junior7[[#This Row],[RD1 XCC Eagle]:[RD3 XCO Sheps]])</f>
        <v>2</v>
      </c>
      <c r="BA18" s="40">
        <f>4-COUNTBLANK(Junior7[[#This Row],[RD4 XCO Ohal]:[RD7 XCO O''Halloran]])</f>
        <v>2</v>
      </c>
      <c r="BB18" s="40">
        <f>2-COUNTBLANK(Junior7[[#This Row],[RD8 XCO Fox Creek]:[RD9 XCO Willowie]])</f>
        <v>0</v>
      </c>
      <c r="BC18" s="34" cm="1">
        <f t="array" ref="BC18">IF(Junior7[[#This Row],[Number of Rounds]]&lt;=6,SUM(IF(ISNA(AP18:AX18),0,AP18:AX18)),SUM(LARGE(AP18:AX18,{1,2,3,4,5,6})))</f>
        <v>2000</v>
      </c>
      <c r="BD18" s="23" cm="1">
        <f t="array" ref="BD18">IF(Junior7[[#This Row],[Number of XCM Rounds]]&lt;=3,SUM(IF(ISNA(AS18:AV18),0,AS18:AV18)),SUM(LARGE(AS18:AV18,{1,2,3})))</f>
        <v>1000</v>
      </c>
      <c r="BE18" s="23">
        <f>SUM(Junior7[[#This Row],[RD8 XCO Fox Creek]:[RD9 XCO Willowie]])</f>
        <v>0</v>
      </c>
      <c r="BF18" s="23">
        <f>Junior7[[#This Row],[Best 3 of 4 XCM]]+Junior7[[#This Row],[Best 6 of 8 Overall]]+Junior7[[#This Row],[Total of 2 XCO]]</f>
        <v>3000</v>
      </c>
      <c r="BG18" s="51" cm="1">
        <f t="array" ref="BG18">23-SUM(IF(BC18&gt;$BC$18:$BC$71,1/COUNTIF($BC$18:$BC$71,$BC$18:$BC$71)))</f>
        <v>0.99999999999998224</v>
      </c>
      <c r="BH18" s="18"/>
      <c r="BI18" s="103" t="s">
        <v>262</v>
      </c>
      <c r="BJ18" s="34" t="str">
        <f>_xlfn.IFNA(INDEX('RD1 Eagle'!$I$2:$I$154,MATCH(Women5108[[#This Row],[Rider]],'RD1 Eagle'!$F$2:$F$154,0)),"")</f>
        <v/>
      </c>
      <c r="BK18" s="34">
        <f>_xlfn.IFNA(INDEX('RD2 Shepherds'!$I$2:$I$143,MATCH(Women5108[[#This Row],[Rider]],'RD2 Shepherds'!$F$2:$F$143,0)),"")</f>
        <v>450</v>
      </c>
      <c r="BL18" s="34" t="str">
        <f>_xlfn.IFNA(INDEX('RD3 XCO Sheps'!$I$2:$I$115,MATCH(Women5108[[#This Row],[Rider]],'RD3 XCO Sheps'!$F$2:$F$115,0)),"")</f>
        <v/>
      </c>
      <c r="BM18" s="34">
        <f>_xlfn.IFNA(INDEX('RD4 Ohalloran'!$I$2:$I$109,MATCH(Women5108[[#This Row],[Rider]],'RD4 Ohalloran'!$F$2:$F$109,0)),"")</f>
        <v>500</v>
      </c>
      <c r="BN18" s="34">
        <f>_xlfn.IFNA(INDEX('RD5 Craigburn'!$I$2:$I$164,MATCH(Women5108[[#This Row],[Rider]],'RD5 Craigburn'!$F$2:$F$164,0)),"")</f>
        <v>450</v>
      </c>
      <c r="BO18" s="34" t="str">
        <f>_xlfn.IFNA(INDEX('RD6 Kinchina'!$I$2:$I$199,MATCH(Women5108[[#This Row],[Rider]],'RD6 Kinchina'!$F$2:$F$199,0)),"")</f>
        <v/>
      </c>
      <c r="BP18" s="34" t="str">
        <f>_xlfn.IFNA(INDEX('RD7 O''Hallaron'!$I$2:$I$190,MATCH(Women5108[[#This Row],[Rider]],'RD7 O''Hallaron'!$F$2:$F$201,0)),"")</f>
        <v/>
      </c>
      <c r="BQ18" s="34" t="str">
        <f>_xlfn.IFNA(INDEX('RD8 Fox Creek'!$I$2:$I$204,MATCH(Women5108[[#This Row],[Rider]],'RD8 Fox Creek'!$F$2:$F$204,0)),"")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3</v>
      </c>
      <c r="BT18" s="56">
        <f>3-COUNTBLANK(Women5108[[#This Row],[RD1 XCC Eagle]:[RD3 XCO Sheps]])</f>
        <v>1</v>
      </c>
      <c r="BU18" s="56">
        <f>4-COUNTBLANK(Women5108[[#This Row],[RD4 XCO Ohal]:[RD7 XCO O''Halloran]])</f>
        <v>2</v>
      </c>
      <c r="BV18" s="56">
        <f>2-COUNTBLANK(Women5108[[#This Row],[RD8 XCO Fox Creek]:[RD9 XCO Willowie]])</f>
        <v>0</v>
      </c>
      <c r="BW18" s="57" cm="1">
        <f t="array" ref="BW18">IF(Women5108[[#This Row],[Number of Rounds]]&lt;=6,SUM(IF(ISNA(BJ18:BR18),0,BJ18:BR18)),SUM(LARGE(BJ18:BR18,{1,2,3,4,5,6})))</f>
        <v>1400</v>
      </c>
      <c r="BX18" s="34" cm="1">
        <f t="array" ref="BX18">IF(Women5108[[#This Row],[Number of Rounds XCM]]&lt;=3,SUM(IF(ISNA(BM18:BO18),0,BM18:BO18)),SUM(LARGE(BM18:BO18,{1,2,3})))</f>
        <v>950</v>
      </c>
      <c r="BY18" s="34">
        <f>SUM(Women5108[[#This Row],[RD8 XCO Fox Creek]:[RD9 XCO Willowie]])</f>
        <v>0</v>
      </c>
      <c r="BZ18" s="23">
        <f>Women5108[[#This Row],[Best 6 of 8 Overall]]+Women5108[[#This Row],[Best 3 of 4 XCM]]+Women5108[[#This Row],[Total of 2 XCO]]</f>
        <v>2350</v>
      </c>
      <c r="CA18" s="51" cm="1">
        <f t="array" ref="CA18">6-SUM(IF(BW18&gt;$BW$18:$BW$28,1/COUNTIF($BW$18:$BW$28,$BW$18:$BW$28)))</f>
        <v>1</v>
      </c>
    </row>
    <row r="19" spans="1:79" ht="16" customHeight="1" x14ac:dyDescent="0.2">
      <c r="A19" s="103" t="s">
        <v>157</v>
      </c>
      <c r="B19" s="38">
        <f>_xlfn.IFNA(INDEX('RD1 Eagle'!$I$2:$I$154,MATCH(Men_5[[#This Row],[Rider]],'RD1 Eagle'!$F$2:$F$154,0)),"")</f>
        <v>400</v>
      </c>
      <c r="C19" s="38">
        <f>_xlfn.IFNA(INDEX('RD2 Shepherds'!$I$2:$I$143,MATCH(Men_5[[#This Row],[Rider]],'RD2 Shepherds'!$F$2:$F$143,0)),"")</f>
        <v>370</v>
      </c>
      <c r="D19" s="38" t="str">
        <f>_xlfn.IFNA(INDEX('RD3 XCO Sheps'!$I$2:$I$190,MATCH(Men_5[[#This Row],[Rider]],'RD3 XCO Sheps'!$F$2:$F$190,0)),"")</f>
        <v/>
      </c>
      <c r="E19" s="38">
        <f>_xlfn.IFNA(INDEX('RD4 Ohalloran'!$I$2:$I$180,MATCH(Men_5[[#This Row],[Rider]],'RD4 Ohalloran'!$F$2:$F$180,0)),"")</f>
        <v>400</v>
      </c>
      <c r="F19" s="38">
        <f>_xlfn.IFNA(INDEX('RD5 Craigburn'!$I$2:$I$164,MATCH(Men_5[[#This Row],[Rider]],'RD5 Craigburn'!$F$2:$F$164,0)),"")</f>
        <v>400</v>
      </c>
      <c r="G19" s="38" t="str">
        <f>_xlfn.IFNA(INDEX('RD6 Kinchina'!$I$2:$I$200,MATCH(Men_5[[#This Row],[Rider]],'RD6 Kinchina'!$F$2:$F$200,0)),"")</f>
        <v/>
      </c>
      <c r="H19" s="38" t="str">
        <f>_xlfn.IFNA(INDEX('RD7 O''Hallaron'!$I$2:$I$190,MATCH(Men_5[[#This Row],[Rider]],'RD7 O''Hallaron'!$F$2:$F$201,0)),"")</f>
        <v/>
      </c>
      <c r="I19" s="38" t="str">
        <f>_xlfn.IFNA(INDEX('RD8 Fox Creek'!$I$2:$I$204,MATCH(Men_5[[#This Row],[Rider]],'RD8 Fox Creek'!$F$2:$F$204,0)),"")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4</v>
      </c>
      <c r="L19" s="59">
        <f>3-COUNTBLANK(Men_5[[#This Row],[RD1 XCC Eagle]:[RD3 XCO Sheps]])</f>
        <v>2</v>
      </c>
      <c r="M19" s="59">
        <f>4-COUNTBLANK(Men_5[[#This Row],[RD4 XCO Ohal]:[RD7 XCO O''Halloran]])</f>
        <v>2</v>
      </c>
      <c r="N19" s="59">
        <f>2-COUNTBLANK(Men_5[[#This Row],[RD8 XCO Fox Creek]:[RD9 XCO Willowie]])</f>
        <v>0</v>
      </c>
      <c r="O19" s="59" cm="1">
        <f t="array" ref="O19">IF(Men_5[[#This Row],[Number of Rounds]]&lt;=6,SUM(IF(ISNA(B19:J19),0,B19:J19)),SUM(LARGE(B19:J19,{1,2,3,4,5,6})))</f>
        <v>1570</v>
      </c>
      <c r="P19" s="59" cm="1">
        <f t="array" ref="P19">IF(Men_5[[#This Row],[Number of Rounds XCM]]&lt;=3,SUM(IF(ISNA(E19:H19),0,E19:H19)),SUM(LARGE(E19:H19,{1,2,3})))</f>
        <v>800</v>
      </c>
      <c r="Q19" s="59">
        <f>SUM(Men_5[[#This Row],[RD8 XCO Fox Creek]:[RD9 XCO Willowie]])</f>
        <v>0</v>
      </c>
      <c r="R19" s="59">
        <f>Men_5[[#This Row],[Best 6 of 8 Overall]]+Men_5[[#This Row],[Best 3 of 4 XCM]]+Men_5[[#This Row],[Total of 2 XCO]]</f>
        <v>2370</v>
      </c>
      <c r="S19" s="80" cm="1">
        <f t="array" ref="S19">68-SUM(IF(O19&gt;$O$18:$O$212,1/COUNTIF($O$18:$O$212,$O$18:$O$212)))</f>
        <v>2.0000000000005969</v>
      </c>
      <c r="T19" s="18"/>
      <c r="U19" s="103" t="s">
        <v>169</v>
      </c>
      <c r="V19" s="69">
        <f>_xlfn.IFNA(INDEX('RD1 Eagle'!$I$2:$I$154,MATCH(Women6[[#This Row],[Rider]],'RD1 Eagle'!$F$2:$F$154,0)),"")</f>
        <v>500</v>
      </c>
      <c r="W19" s="34" t="str">
        <f>_xlfn.IFNA(INDEX('RD2 Shepherds'!$I$2:$I$143,MATCH(Women6[[#This Row],[Rider]],'RD2 Shepherds'!$F$2:$F$143,0)),"")</f>
        <v/>
      </c>
      <c r="X19" s="34" t="str">
        <f>_xlfn.IFNA(INDEX('RD3 XCO Sheps'!$I$2:$I$190,MATCH(Women6[[#This Row],[Rider]],'RD3 XCO Sheps'!$F$2:$F$190,0)),"")</f>
        <v/>
      </c>
      <c r="Y19" s="34" t="str">
        <f>_xlfn.IFNA(INDEX('RD4 Ohalloran'!$I$2:$I$184,MATCH(Women6[[#This Row],[Rider]],'RD4 Ohalloran'!$F$2:$F$184,0)),"")</f>
        <v/>
      </c>
      <c r="Z19" s="34">
        <f>_xlfn.IFNA(INDEX('RD5 Craigburn'!$I$2:$I$164,MATCH(Women6[[#This Row],[Rider]],'RD5 Craigburn'!$F$2:$F$164,0)),"")</f>
        <v>450</v>
      </c>
      <c r="AA19" s="34" t="str">
        <f>_xlfn.IFNA(INDEX('RD6 Kinchina'!$I$2:$I$199,MATCH(Women6[[#This Row],[Rider]],'RD6 Kinchina'!$F$2:$F$199,0)),"")</f>
        <v/>
      </c>
      <c r="AB19" s="34" t="str">
        <f>_xlfn.IFNA(INDEX('RD7 O''Hallaron'!$I$2:$I$190,MATCH(Women6[[#This Row],[Rider]],'RD7 O''Hallaron'!$F$2:$F$201,0)),"")</f>
        <v/>
      </c>
      <c r="AC19" s="34" t="str">
        <f>_xlfn.IFNA(INDEX('RD8 Fox Creek'!$I$2:$I$204,MATCH(Women6[[#This Row],[Rider]],'RD8 Fox Creek'!$F$2:$F$204,0)),"")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2</v>
      </c>
      <c r="AF19" s="57">
        <f>3-COUNTBLANK(Women6[[#This Row],[RD1 XCC Eagle]:[RD3 XCO Sheps]])</f>
        <v>1</v>
      </c>
      <c r="AG19" s="57">
        <f>4-COUNTBLANK(Women6[[#This Row],[RD4 XCO Ohal]:[RD7 XCO O''Halloran]])</f>
        <v>1</v>
      </c>
      <c r="AH19" s="57">
        <f>2-COUNTBLANK(Women6[[#This Row],[RD8 XCO Fox Creek]:[RD9 XCO Willowie]])</f>
        <v>0</v>
      </c>
      <c r="AI19" s="57" cm="1">
        <f t="array" ref="AI19">IF(Women6[[#This Row],[Number of Rounds]]&lt;=6,SUM(IF(ISNA(V19:AD19),0,V19:AD19)),SUM(LARGE(V19:AD19,{1,2,3,4,5,6})))</f>
        <v>950</v>
      </c>
      <c r="AJ19" s="57" cm="1">
        <f t="array" ref="AJ19">IF(Women6[[#This Row],[Number of XCM Rounds]]&lt;=3,SUM(IF(ISNA(Y19:AB19),0,Y19:AB19)),SUM(LARGE(Y19:AB19,{1,2,3})))</f>
        <v>450</v>
      </c>
      <c r="AK19" s="57">
        <f>SUM(Women6[[#This Row],[RD8 XCO Fox Creek]:[RD9 XCO Willowie]])</f>
        <v>0</v>
      </c>
      <c r="AL19" s="57">
        <f>Women6[[#This Row],[Best 3 of 4 XCM]]+Women6[[#This Row],[Best 6 of 8 Overall]]+Women6[[#This Row],[Total of 2 XCO]]</f>
        <v>1400</v>
      </c>
      <c r="AM19" s="80" cm="1">
        <f t="array" ref="AM19">29-SUM(IF(AI19&gt;$AI$18:$AI$52,1/COUNTIF($AI$18:$AI$52,$AI$18:$AI$52)))</f>
        <v>2.0000000000000036</v>
      </c>
      <c r="AN19" s="18"/>
      <c r="AO19" s="103" t="s">
        <v>186</v>
      </c>
      <c r="AP19" s="77">
        <f>_xlfn.IFNA(INDEX('RD1 Eagle'!$I$2:$I$154,MATCH(Junior7[[#This Row],[Rider]],'RD1 Eagle'!$F$2:$F$154,0)),"")</f>
        <v>500</v>
      </c>
      <c r="AQ19" s="77">
        <f>_xlfn.IFNA(INDEX('RD2 Shepherds'!$I$2:$I$143,MATCH(Junior7[[#This Row],[Rider]],'RD2 Shepherds'!$F$2:$F$143,0)),"")</f>
        <v>450</v>
      </c>
      <c r="AR19" s="34" t="str">
        <f>_xlfn.IFNA(INDEX('RD3 XCO Sheps'!$I$2:$I$190,MATCH(Junior7[[#This Row],[Rider]],'RD3 XCO Sheps'!$F$2:$F$190,0)),"")</f>
        <v/>
      </c>
      <c r="AS19" s="34">
        <f>_xlfn.IFNA(INDEX('RD4 Ohalloran'!$I$2:$I$184,MATCH(Junior7[[#This Row],[Rider]],'RD4 Ohalloran'!$F$2:$F$184,0)),"")</f>
        <v>450</v>
      </c>
      <c r="AT19" s="34">
        <f>_xlfn.IFNA(INDEX('RD5 Craigburn'!$I$2:$I$168,MATCH(Junior7[[#This Row],[Rider]],'RD5 Craigburn'!$F$2:$F$168,0)),"")</f>
        <v>500</v>
      </c>
      <c r="AU19" s="57" t="str">
        <f>_xlfn.IFNA(INDEX('RD6 Kinchina'!$I$2:$I$199,MATCH(Junior7[[#This Row],[Rider]],'RD6 Kinchina'!$F$2:$F$199,0)),"")</f>
        <v/>
      </c>
      <c r="AV19" s="57" t="str">
        <f>_xlfn.IFNA(INDEX('RD7 O''Hallaron'!$I$2:$I$190,MATCH(Junior7[[#This Row],[Rider]],'RD7 O''Hallaron'!$F$2:$F$201,0)),"")</f>
        <v/>
      </c>
      <c r="AW19" s="57" t="str">
        <f>_xlfn.IFNA(INDEX('RD8 Fox Creek'!$I$2:$I$204,MATCH(Junior7[[#This Row],[Rider]],'RD8 Fox Creek'!$F$2:$F$204,0)),"")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4</v>
      </c>
      <c r="AZ19" s="24">
        <f>3-COUNTBLANK(Junior7[[#This Row],[RD1 XCC Eagle]:[RD3 XCO Sheps]])</f>
        <v>2</v>
      </c>
      <c r="BA19" s="24">
        <f>4-COUNTBLANK(Junior7[[#This Row],[RD4 XCO Ohal]:[RD7 XCO O''Halloran]])</f>
        <v>2</v>
      </c>
      <c r="BB19" s="24">
        <f>2-COUNTBLANK(Junior7[[#This Row],[RD8 XCO Fox Creek]:[RD9 XCO Willowie]])</f>
        <v>0</v>
      </c>
      <c r="BC19" s="34" cm="1">
        <f t="array" ref="BC19">IF(Junior7[[#This Row],[Number of Rounds]]&lt;=6,SUM(IF(ISNA(AP19:AX19),0,AP19:AX19)),SUM(LARGE(AP19:AX19,{1,2,3,4,5,6})))</f>
        <v>1900</v>
      </c>
      <c r="BD19" s="24" cm="1">
        <f t="array" ref="BD19">IF(Junior7[[#This Row],[Number of XCM Rounds]]&lt;=3,SUM(IF(ISNA(AS19:AV19),0,AS19:AV19)),SUM(LARGE(AS19:AV19,{1,2,3})))</f>
        <v>950</v>
      </c>
      <c r="BE19" s="24">
        <f>SUM(Junior7[[#This Row],[RD8 XCO Fox Creek]:[RD9 XCO Willowie]])</f>
        <v>0</v>
      </c>
      <c r="BF19" s="23">
        <f>Junior7[[#This Row],[Best 3 of 4 XCM]]+Junior7[[#This Row],[Best 6 of 8 Overall]]+Junior7[[#This Row],[Total of 2 XCO]]</f>
        <v>2850</v>
      </c>
      <c r="BG19" s="80" cm="1">
        <f t="array" ref="BG19">23-SUM(IF(BC19&gt;$BC$18:$BC$71,1/COUNTIF($BC$18:$BC$71,$BC$18:$BC$71)))</f>
        <v>1.9999999999999822</v>
      </c>
      <c r="BH19" s="18"/>
      <c r="BI19" s="103" t="s">
        <v>189</v>
      </c>
      <c r="BJ19" s="34">
        <f>_xlfn.IFNA(INDEX('RD1 Eagle'!$I$2:$I$154,MATCH(Women5108[[#This Row],[Rider]],'RD1 Eagle'!$F$2:$F$154,0)),"")</f>
        <v>500</v>
      </c>
      <c r="BK19" s="34" t="str">
        <f>_xlfn.IFNA(INDEX('RD2 Shepherds'!$I$2:$I$143,MATCH(Women5108[[#This Row],[Rider]],'RD2 Shepherds'!$F$2:$F$143,0)),"")</f>
        <v/>
      </c>
      <c r="BL19" s="34" t="str">
        <f>_xlfn.IFNA(INDEX('RD3 XCO Sheps'!$I$2:$I$115,MATCH(Women5108[[#This Row],[Rider]],'RD3 XCO Sheps'!$F$2:$F$115,0)),"")</f>
        <v/>
      </c>
      <c r="BM19" s="34" t="str">
        <f>_xlfn.IFNA(INDEX('RD4 Ohalloran'!$I$2:$I$109,MATCH(Women5108[[#This Row],[Rider]],'RD4 Ohalloran'!$F$2:$F$109,0)),"")</f>
        <v/>
      </c>
      <c r="BN19" s="34">
        <f>_xlfn.IFNA(INDEX('RD5 Craigburn'!$I$2:$I$164,MATCH(Women5108[[#This Row],[Rider]],'RD5 Craigburn'!$F$2:$F$164,0)),"")</f>
        <v>500</v>
      </c>
      <c r="BO19" s="34" t="str">
        <f>_xlfn.IFNA(INDEX('RD6 Kinchina'!$I$2:$I$199,MATCH(Women5108[[#This Row],[Rider]],'RD6 Kinchina'!$F$2:$F$199,0)),"")</f>
        <v/>
      </c>
      <c r="BP19" s="34" t="str">
        <f>_xlfn.IFNA(INDEX('RD7 O''Hallaron'!$I$2:$I$190,MATCH(Women5108[[#This Row],[Rider]],'RD7 O''Hallaron'!$F$2:$F$201,0)),"")</f>
        <v/>
      </c>
      <c r="BQ19" s="34" t="str">
        <f>_xlfn.IFNA(INDEX('RD8 Fox Creek'!$I$2:$I$204,MATCH(Women5108[[#This Row],[Rider]],'RD8 Fox Creek'!$F$2:$F$204,0)),"")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2</v>
      </c>
      <c r="BT19" s="34">
        <f>3-COUNTBLANK(Women5108[[#This Row],[RD1 XCC Eagle]:[RD3 XCO Sheps]])</f>
        <v>1</v>
      </c>
      <c r="BU19" s="34">
        <f>4-COUNTBLANK(Women5108[[#This Row],[RD4 XCO Ohal]:[RD7 XCO O''Halloran]])</f>
        <v>1</v>
      </c>
      <c r="BV19" s="34">
        <f>2-COUNTBLANK(Women5108[[#This Row],[RD8 XCO Fox Creek]:[RD9 XCO Willowie]])</f>
        <v>0</v>
      </c>
      <c r="BW19" s="34" cm="1">
        <f t="array" ref="BW19">IF(Women5108[[#This Row],[Number of Rounds]]&lt;=6,SUM(IF(ISNA(BJ19:BR19),0,BJ19:BR19)),SUM(LARGE(BJ19:BR19,{1,2,3,4,5,6})))</f>
        <v>1000</v>
      </c>
      <c r="BX19" s="23" cm="1">
        <f t="array" ref="BX19">IF(Women5108[[#This Row],[Number of Rounds XCM]]&lt;=3,SUM(IF(ISNA(BM19:BO19),0,BM19:BO19)),SUM(LARGE(BM19:BO19,{1,2,3})))</f>
        <v>500</v>
      </c>
      <c r="BY19" s="23">
        <f>SUM(Women5108[[#This Row],[RD8 XCO Fox Creek]:[RD9 XCO Willowie]])</f>
        <v>0</v>
      </c>
      <c r="BZ19" s="23">
        <f>Women5108[[#This Row],[Best 6 of 8 Overall]]+Women5108[[#This Row],[Best 3 of 4 XCM]]+Women5108[[#This Row],[Total of 2 XCO]]</f>
        <v>1500</v>
      </c>
      <c r="CA19" s="80" cm="1">
        <f t="array" ref="CA19">6-SUM(IF(BW19&gt;$BW$18:$BW$28,1/COUNTIF($BW$18:$BW$28,$BW$18:$BW$28)))</f>
        <v>2</v>
      </c>
    </row>
    <row r="20" spans="1:79" ht="16" x14ac:dyDescent="0.2">
      <c r="A20" s="103" t="s">
        <v>159</v>
      </c>
      <c r="B20" s="38">
        <f>_xlfn.IFNA(INDEX('RD1 Eagle'!$I$2:$I$154,MATCH(Men_5[[#This Row],[Rider]],'RD1 Eagle'!$F$2:$F$154,0)),"")</f>
        <v>277.5</v>
      </c>
      <c r="C20" s="38">
        <f>_xlfn.IFNA(INDEX('RD2 Shepherds'!$I$2:$I$143,MATCH(Men_5[[#This Row],[Rider]],'RD2 Shepherds'!$F$2:$F$143,0)),"")</f>
        <v>337.5</v>
      </c>
      <c r="D20" s="38" t="str">
        <f>_xlfn.IFNA(INDEX('RD3 XCO Sheps'!$I$2:$I$190,MATCH(Men_5[[#This Row],[Rider]],'RD3 XCO Sheps'!$F$2:$F$190,0)),"")</f>
        <v/>
      </c>
      <c r="E20" s="38">
        <f>_xlfn.IFNA(INDEX('RD4 Ohalloran'!$I$2:$I$180,MATCH(Men_5[[#This Row],[Rider]],'RD4 Ohalloran'!$F$2:$F$180,0)),"")</f>
        <v>337.5</v>
      </c>
      <c r="F20" s="38">
        <f>_xlfn.IFNA(INDEX('RD5 Craigburn'!$I$2:$I$164,MATCH(Men_5[[#This Row],[Rider]],'RD5 Craigburn'!$F$2:$F$164,0)),"")</f>
        <v>292.5</v>
      </c>
      <c r="G20" s="38" t="str">
        <f>_xlfn.IFNA(INDEX('RD6 Kinchina'!$I$2:$I$200,MATCH(Men_5[[#This Row],[Rider]],'RD6 Kinchina'!$F$2:$F$200,0)),"")</f>
        <v/>
      </c>
      <c r="H20" s="38" t="str">
        <f>_xlfn.IFNA(INDEX('RD7 O''Hallaron'!$I$2:$I$190,MATCH(Men_5[[#This Row],[Rider]],'RD7 O''Hallaron'!$F$2:$F$201,0)),"")</f>
        <v/>
      </c>
      <c r="I20" s="38" t="str">
        <f>_xlfn.IFNA(INDEX('RD8 Fox Creek'!$I$2:$I$204,MATCH(Men_5[[#This Row],[Rider]],'RD8 Fox Creek'!$F$2:$F$204,0)),"")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4</v>
      </c>
      <c r="L20" s="59">
        <f>3-COUNTBLANK(Men_5[[#This Row],[RD1 XCC Eagle]:[RD3 XCO Sheps]])</f>
        <v>2</v>
      </c>
      <c r="M20" s="59">
        <f>4-COUNTBLANK(Men_5[[#This Row],[RD4 XCO Ohal]:[RD7 XCO O''Halloran]])</f>
        <v>2</v>
      </c>
      <c r="N20" s="59">
        <f>2-COUNTBLANK(Men_5[[#This Row],[RD8 XCO Fox Creek]:[RD9 XCO Willowie]])</f>
        <v>0</v>
      </c>
      <c r="O20" s="59" cm="1">
        <f t="array" ref="O20">IF(Men_5[[#This Row],[Number of Rounds]]&lt;=6,SUM(IF(ISNA(B20:J20),0,B20:J20)),SUM(LARGE(B20:J20,{1,2,3,4,5,6})))</f>
        <v>1245</v>
      </c>
      <c r="P20" s="59" cm="1">
        <f t="array" ref="P20">IF(Men_5[[#This Row],[Number of Rounds XCM]]&lt;=3,SUM(IF(ISNA(E20:H20),0,E20:H20)),SUM(LARGE(E20:H20,{1,2,3})))</f>
        <v>630</v>
      </c>
      <c r="Q20" s="59">
        <f>SUM(Men_5[[#This Row],[RD8 XCO Fox Creek]:[RD9 XCO Willowie]])</f>
        <v>0</v>
      </c>
      <c r="R20" s="59">
        <f>Men_5[[#This Row],[Best 6 of 8 Overall]]+Men_5[[#This Row],[Best 3 of 4 XCM]]+Men_5[[#This Row],[Total of 2 XCO]]</f>
        <v>1875</v>
      </c>
      <c r="S20" s="25" cm="1">
        <f t="array" ref="S20">68-SUM(IF(O20&gt;$O$18:$O$212,1/COUNTIF($O$18:$O$212,$O$18:$O$212)))</f>
        <v>3.0000000000005969</v>
      </c>
      <c r="T20" s="18"/>
      <c r="U20" s="103" t="s">
        <v>196</v>
      </c>
      <c r="V20" s="69">
        <f>_xlfn.IFNA(INDEX('RD1 Eagle'!$I$2:$I$154,MATCH(Women6[[#This Row],[Rider]],'RD1 Eagle'!$F$2:$F$154,0)),"")</f>
        <v>350</v>
      </c>
      <c r="W20" s="34">
        <f>_xlfn.IFNA(INDEX('RD2 Shepherds'!$I$2:$I$143,MATCH(Women6[[#This Row],[Rider]],'RD2 Shepherds'!$F$2:$F$143,0)),"")</f>
        <v>350</v>
      </c>
      <c r="X20" s="34" t="str">
        <f>_xlfn.IFNA(INDEX('RD3 XCO Sheps'!$I$2:$I$190,MATCH(Women6[[#This Row],[Rider]],'RD3 XCO Sheps'!$F$2:$F$190,0)),"")</f>
        <v/>
      </c>
      <c r="Y20" s="34" t="str">
        <f>_xlfn.IFNA(INDEX('RD4 Ohalloran'!$I$2:$I$184,MATCH(Women6[[#This Row],[Rider]],'RD4 Ohalloran'!$F$2:$F$184,0)),"")</f>
        <v/>
      </c>
      <c r="Z20" s="34">
        <f>_xlfn.IFNA(INDEX('RD5 Craigburn'!$I$2:$I$164,MATCH(Women6[[#This Row],[Rider]],'RD5 Craigburn'!$F$2:$F$164,0)),"")</f>
        <v>225</v>
      </c>
      <c r="AA20" s="34" t="str">
        <f>_xlfn.IFNA(INDEX('RD6 Kinchina'!$I$2:$I$199,MATCH(Women6[[#This Row],[Rider]],'RD6 Kinchina'!$F$2:$F$199,0)),"")</f>
        <v/>
      </c>
      <c r="AB20" s="34" t="str">
        <f>_xlfn.IFNA(INDEX('RD7 O''Hallaron'!$I$2:$I$190,MATCH(Women6[[#This Row],[Rider]],'RD7 O''Hallaron'!$F$2:$F$201,0)),"")</f>
        <v/>
      </c>
      <c r="AC20" s="34" t="str">
        <f>_xlfn.IFNA(INDEX('RD8 Fox Creek'!$I$2:$I$204,MATCH(Women6[[#This Row],[Rider]],'RD8 Fox Creek'!$F$2:$F$204,0)),"")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3</v>
      </c>
      <c r="AF20" s="57">
        <f>3-COUNTBLANK(Women6[[#This Row],[RD1 XCC Eagle]:[RD3 XCO Sheps]])</f>
        <v>2</v>
      </c>
      <c r="AG20" s="57">
        <f>4-COUNTBLANK(Women6[[#This Row],[RD4 XCO Ohal]:[RD7 XCO O''Halloran]])</f>
        <v>1</v>
      </c>
      <c r="AH20" s="57">
        <f>2-COUNTBLANK(Women6[[#This Row],[RD8 XCO Fox Creek]:[RD9 XCO Willowie]])</f>
        <v>0</v>
      </c>
      <c r="AI20" s="57" cm="1">
        <f t="array" ref="AI20">IF(Women6[[#This Row],[Number of Rounds]]&lt;=6,SUM(IF(ISNA(V20:AD20),0,V20:AD20)),SUM(LARGE(V20:AD20,{1,2,3,4,5,6})))</f>
        <v>925</v>
      </c>
      <c r="AJ20" s="57" cm="1">
        <f t="array" ref="AJ20">IF(Women6[[#This Row],[Number of XCM Rounds]]&lt;=3,SUM(IF(ISNA(Y20:AB20),0,Y20:AB20)),SUM(LARGE(Y20:AB20,{1,2,3})))</f>
        <v>225</v>
      </c>
      <c r="AK20" s="57">
        <f>SUM(Women6[[#This Row],[RD8 XCO Fox Creek]:[RD9 XCO Willowie]])</f>
        <v>0</v>
      </c>
      <c r="AL20" s="57">
        <f>Women6[[#This Row],[Best 3 of 4 XCM]]+Women6[[#This Row],[Best 6 of 8 Overall]]+Women6[[#This Row],[Total of 2 XCO]]</f>
        <v>1150</v>
      </c>
      <c r="AM20" s="25" cm="1">
        <f t="array" ref="AM20">29-SUM(IF(AI20&gt;$AI$18:$AI$52,1/COUNTIF($AI$18:$AI$52,$AI$18:$AI$52)))</f>
        <v>3.0000000000000036</v>
      </c>
      <c r="AN20" s="18"/>
      <c r="AO20" s="103" t="s">
        <v>188</v>
      </c>
      <c r="AP20" s="69">
        <f>_xlfn.IFNA(INDEX('RD1 Eagle'!$I$2:$I$154,MATCH(Junior7[[#This Row],[Rider]],'RD1 Eagle'!$F$2:$F$154,0)),"")</f>
        <v>390</v>
      </c>
      <c r="AQ20" s="69">
        <f>_xlfn.IFNA(INDEX('RD2 Shepherds'!$I$2:$I$143,MATCH(Junior7[[#This Row],[Rider]],'RD2 Shepherds'!$F$2:$F$143,0)),"")</f>
        <v>400</v>
      </c>
      <c r="AR20" s="34" t="str">
        <f>_xlfn.IFNA(INDEX('RD3 XCO Sheps'!$I$2:$I$190,MATCH(Junior7[[#This Row],[Rider]],'RD3 XCO Sheps'!$F$2:$F$190,0)),"")</f>
        <v/>
      </c>
      <c r="AS20" s="34">
        <f>_xlfn.IFNA(INDEX('RD4 Ohalloran'!$I$2:$I$184,MATCH(Junior7[[#This Row],[Rider]],'RD4 Ohalloran'!$F$2:$F$184,0)),"")</f>
        <v>420</v>
      </c>
      <c r="AT20" s="34">
        <f>_xlfn.IFNA(INDEX('RD5 Craigburn'!$I$2:$I$168,MATCH(Junior7[[#This Row],[Rider]],'RD5 Craigburn'!$F$2:$F$168,0)),"")</f>
        <v>450</v>
      </c>
      <c r="AU20" s="57" t="str">
        <f>_xlfn.IFNA(INDEX('RD6 Kinchina'!$I$2:$I$199,MATCH(Junior7[[#This Row],[Rider]],'RD6 Kinchina'!$F$2:$F$199,0)),"")</f>
        <v/>
      </c>
      <c r="AV20" s="57" t="str">
        <f>_xlfn.IFNA(INDEX('RD7 O''Hallaron'!$I$2:$I$190,MATCH(Junior7[[#This Row],[Rider]],'RD7 O''Hallaron'!$F$2:$F$201,0)),"")</f>
        <v/>
      </c>
      <c r="AW20" s="57" t="str">
        <f>_xlfn.IFNA(INDEX('RD8 Fox Creek'!$I$2:$I$204,MATCH(Junior7[[#This Row],[Rider]],'RD8 Fox Creek'!$F$2:$F$204,0)),"")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4</v>
      </c>
      <c r="AZ20" s="24">
        <f>3-COUNTBLANK(Junior7[[#This Row],[RD1 XCC Eagle]:[RD3 XCO Sheps]])</f>
        <v>2</v>
      </c>
      <c r="BA20" s="24">
        <f>4-COUNTBLANK(Junior7[[#This Row],[RD4 XCO Ohal]:[RD7 XCO O''Halloran]])</f>
        <v>2</v>
      </c>
      <c r="BB20" s="24">
        <f>2-COUNTBLANK(Junior7[[#This Row],[RD8 XCO Fox Creek]:[RD9 XCO Willowie]])</f>
        <v>0</v>
      </c>
      <c r="BC20" s="34" cm="1">
        <f t="array" ref="BC20">IF(Junior7[[#This Row],[Number of Rounds]]&lt;=6,SUM(IF(ISNA(AP20:AX20),0,AP20:AX20)),SUM(LARGE(AP20:AX20,{1,2,3,4,5,6})))</f>
        <v>1660</v>
      </c>
      <c r="BD20" s="24" cm="1">
        <f t="array" ref="BD20">IF(Junior7[[#This Row],[Number of XCM Rounds]]&lt;=3,SUM(IF(ISNA(AS20:AV20),0,AS20:AV20)),SUM(LARGE(AS20:AV20,{1,2,3})))</f>
        <v>870</v>
      </c>
      <c r="BE20" s="24">
        <f>SUM(Junior7[[#This Row],[RD8 XCO Fox Creek]:[RD9 XCO Willowie]])</f>
        <v>0</v>
      </c>
      <c r="BF20" s="23">
        <f>Junior7[[#This Row],[Best 3 of 4 XCM]]+Junior7[[#This Row],[Best 6 of 8 Overall]]+Junior7[[#This Row],[Total of 2 XCO]]</f>
        <v>2530</v>
      </c>
      <c r="BG20" s="25" cm="1">
        <f t="array" ref="BG20">23-SUM(IF(BC20&gt;$BC$18:$BC$71,1/COUNTIF($BC$18:$BC$71,$BC$18:$BC$71)))</f>
        <v>2.9999999999999822</v>
      </c>
      <c r="BH20" s="18"/>
      <c r="BI20" s="103" t="s">
        <v>259</v>
      </c>
      <c r="BJ20" s="34" t="str">
        <f>_xlfn.IFNA(INDEX('RD1 Eagle'!$I$2:$I$154,MATCH(Women5108[[#This Row],[Rider]],'RD1 Eagle'!$F$2:$F$154,0)),"")</f>
        <v/>
      </c>
      <c r="BK20" s="34">
        <f>_xlfn.IFNA(INDEX('RD2 Shepherds'!$I$2:$I$143,MATCH(Women5108[[#This Row],[Rider]],'RD2 Shepherds'!$F$2:$F$143,0)),"")</f>
        <v>500</v>
      </c>
      <c r="BL20" s="34" t="str">
        <f>_xlfn.IFNA(INDEX('RD3 XCO Sheps'!$I$2:$I$115,MATCH(Women5108[[#This Row],[Rider]],'RD3 XCO Sheps'!$F$2:$F$115,0)),"")</f>
        <v/>
      </c>
      <c r="BM20" s="34" t="str">
        <f>_xlfn.IFNA(INDEX('RD4 Ohalloran'!$I$2:$I$109,MATCH(Women5108[[#This Row],[Rider]],'RD4 Ohalloran'!$F$2:$F$109,0)),"")</f>
        <v/>
      </c>
      <c r="BN20" s="34" t="str">
        <f>_xlfn.IFNA(INDEX('RD5 Craigburn'!$I$2:$I$164,MATCH(Women5108[[#This Row],[Rider]],'RD5 Craigburn'!$F$2:$F$164,0)),"")</f>
        <v/>
      </c>
      <c r="BO20" s="34" t="str">
        <f>_xlfn.IFNA(INDEX('RD6 Kinchina'!$I$2:$I$199,MATCH(Women5108[[#This Row],[Rider]],'RD6 Kinchina'!$F$2:$F$199,0)),"")</f>
        <v/>
      </c>
      <c r="BP20" s="34" t="str">
        <f>_xlfn.IFNA(INDEX('RD7 O''Hallaron'!$I$2:$I$190,MATCH(Women5108[[#This Row],[Rider]],'RD7 O''Hallaron'!$F$2:$F$201,0)),"")</f>
        <v/>
      </c>
      <c r="BQ20" s="34" t="str">
        <f>_xlfn.IFNA(INDEX('RD8 Fox Creek'!$I$2:$I$204,MATCH(Women5108[[#This Row],[Rider]],'RD8 Fox Creek'!$F$2:$F$204,0)),"")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1</v>
      </c>
      <c r="BT20" s="34">
        <f>3-COUNTBLANK(Women5108[[#This Row],[RD1 XCC Eagle]:[RD3 XCO Sheps]])</f>
        <v>1</v>
      </c>
      <c r="BU20" s="34">
        <f>4-COUNTBLANK(Women5108[[#This Row],[RD4 XCO Ohal]:[RD7 XCO O''Halloran]])</f>
        <v>0</v>
      </c>
      <c r="BV20" s="34">
        <f>2-COUNTBLANK(Women5108[[#This Row],[RD8 XCO Fox Creek]:[RD9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Fox Creek]:[RD9 XCO Willowie]])</f>
        <v>0</v>
      </c>
      <c r="BZ20" s="23">
        <f>Women5108[[#This Row],[Best 6 of 8 Overall]]+Women5108[[#This Row],[Best 3 of 4 XCM]]+Women5108[[#This Row],[Total of 2 XCO]]</f>
        <v>500</v>
      </c>
      <c r="CA20" s="25" cm="1">
        <f t="array" ref="CA20">6-SUM(IF(BW20&gt;$BW$18:$BW$28,1/COUNTIF($BW$18:$BW$28,$BW$18:$BW$28)))</f>
        <v>3</v>
      </c>
    </row>
    <row r="21" spans="1:79" ht="16" x14ac:dyDescent="0.2">
      <c r="A21" s="103" t="s">
        <v>164</v>
      </c>
      <c r="B21" s="38">
        <f>_xlfn.IFNA(INDEX('RD1 Eagle'!$I$2:$I$154,MATCH(Men_5[[#This Row],[Rider]],'RD1 Eagle'!$F$2:$F$154,0)),"")</f>
        <v>315</v>
      </c>
      <c r="C21" s="38">
        <f>_xlfn.IFNA(INDEX('RD2 Shepherds'!$I$2:$I$143,MATCH(Men_5[[#This Row],[Rider]],'RD2 Shepherds'!$F$2:$F$143,0)),"")</f>
        <v>251.99999999999997</v>
      </c>
      <c r="D21" s="38" t="str">
        <f>_xlfn.IFNA(INDEX('RD3 XCO Sheps'!$I$2:$I$190,MATCH(Men_5[[#This Row],[Rider]],'RD3 XCO Sheps'!$F$2:$F$190,0)),"")</f>
        <v/>
      </c>
      <c r="E21" s="38">
        <f>_xlfn.IFNA(INDEX('RD4 Ohalloran'!$I$2:$I$180,MATCH(Men_5[[#This Row],[Rider]],'RD4 Ohalloran'!$F$2:$F$180,0)),"")</f>
        <v>315</v>
      </c>
      <c r="F21" s="38">
        <f>_xlfn.IFNA(INDEX('RD5 Craigburn'!$I$2:$I$164,MATCH(Men_5[[#This Row],[Rider]],'RD5 Craigburn'!$F$2:$F$164,0)),"")</f>
        <v>315</v>
      </c>
      <c r="G21" s="38" t="str">
        <f>_xlfn.IFNA(INDEX('RD6 Kinchina'!$I$2:$I$200,MATCH(Men_5[[#This Row],[Rider]],'RD6 Kinchina'!$F$2:$F$200,0)),"")</f>
        <v/>
      </c>
      <c r="H21" s="38" t="str">
        <f>_xlfn.IFNA(INDEX('RD7 O''Hallaron'!$I$2:$I$190,MATCH(Men_5[[#This Row],[Rider]],'RD7 O''Hallaron'!$F$2:$F$201,0)),"")</f>
        <v/>
      </c>
      <c r="I21" s="38" t="str">
        <f>_xlfn.IFNA(INDEX('RD8 Fox Creek'!$I$2:$I$204,MATCH(Men_5[[#This Row],[Rider]],'RD8 Fox Creek'!$F$2:$F$204,0)),"")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4</v>
      </c>
      <c r="L21" s="59">
        <f>3-COUNTBLANK(Men_5[[#This Row],[RD1 XCC Eagle]:[RD3 XCO Sheps]])</f>
        <v>2</v>
      </c>
      <c r="M21" s="59">
        <f>4-COUNTBLANK(Men_5[[#This Row],[RD4 XCO Ohal]:[RD7 XCO O''Halloran]])</f>
        <v>2</v>
      </c>
      <c r="N21" s="59">
        <f>2-COUNTBLANK(Men_5[[#This Row],[RD8 XCO Fox Creek]:[RD9 XCO Willowie]])</f>
        <v>0</v>
      </c>
      <c r="O21" s="59" cm="1">
        <f t="array" ref="O21">IF(Men_5[[#This Row],[Number of Rounds]]&lt;=6,SUM(IF(ISNA(B21:J21),0,B21:J21)),SUM(LARGE(B21:J21,{1,2,3,4,5,6})))</f>
        <v>1197</v>
      </c>
      <c r="P21" s="59" cm="1">
        <f t="array" ref="P21">IF(Men_5[[#This Row],[Number of Rounds XCM]]&lt;=3,SUM(IF(ISNA(E21:H21),0,E21:H21)),SUM(LARGE(E21:H21,{1,2,3})))</f>
        <v>630</v>
      </c>
      <c r="Q21" s="59">
        <f>SUM(Men_5[[#This Row],[RD8 XCO Fox Creek]:[RD9 XCO Willowie]])</f>
        <v>0</v>
      </c>
      <c r="R21" s="59">
        <f>Men_5[[#This Row],[Best 6 of 8 Overall]]+Men_5[[#This Row],[Best 3 of 4 XCM]]+Men_5[[#This Row],[Total of 2 XCO]]</f>
        <v>1827</v>
      </c>
      <c r="S21" s="134" cm="1">
        <f t="array" ref="S21">68-SUM(IF(O21&gt;$O$18:$O$212,1/COUNTIF($O$18:$O$212,$O$18:$O$212)))</f>
        <v>3.9999999999998295</v>
      </c>
      <c r="T21" s="18"/>
      <c r="U21" s="103" t="s">
        <v>170</v>
      </c>
      <c r="V21" s="77">
        <f>_xlfn.IFNA(INDEX('RD1 Eagle'!$I$2:$I$154,MATCH(Women6[[#This Row],[Rider]],'RD1 Eagle'!$F$2:$F$154,0)),"")</f>
        <v>420</v>
      </c>
      <c r="W21" s="38" t="str">
        <f>_xlfn.IFNA(INDEX('RD2 Shepherds'!$I$2:$I$143,MATCH(Women6[[#This Row],[Rider]],'RD2 Shepherds'!$F$2:$F$143,0)),"")</f>
        <v/>
      </c>
      <c r="X21" s="34" t="str">
        <f>_xlfn.IFNA(INDEX('RD3 XCO Sheps'!$I$2:$I$190,MATCH(Women6[[#This Row],[Rider]],'RD3 XCO Sheps'!$F$2:$F$190,0)),"")</f>
        <v/>
      </c>
      <c r="Y21" s="34">
        <f>_xlfn.IFNA(INDEX('RD4 Ohalloran'!$I$2:$I$184,MATCH(Women6[[#This Row],[Rider]],'RD4 Ohalloran'!$F$2:$F$184,0)),"")</f>
        <v>250</v>
      </c>
      <c r="Z21" s="34">
        <f>_xlfn.IFNA(INDEX('RD5 Craigburn'!$I$2:$I$164,MATCH(Women6[[#This Row],[Rider]],'RD5 Craigburn'!$F$2:$F$164,0)),"")</f>
        <v>250</v>
      </c>
      <c r="AA21" s="34" t="str">
        <f>_xlfn.IFNA(INDEX('RD6 Kinchina'!$I$2:$I$199,MATCH(Women6[[#This Row],[Rider]],'RD6 Kinchina'!$F$2:$F$199,0)),"")</f>
        <v/>
      </c>
      <c r="AB21" s="34" t="str">
        <f>_xlfn.IFNA(INDEX('RD7 O''Hallaron'!$I$2:$I$190,MATCH(Women6[[#This Row],[Rider]],'RD7 O''Hallaron'!$F$2:$F$201,0)),"")</f>
        <v/>
      </c>
      <c r="AC21" s="34" t="str">
        <f>_xlfn.IFNA(INDEX('RD8 Fox Creek'!$I$2:$I$204,MATCH(Women6[[#This Row],[Rider]],'RD8 Fox Creek'!$F$2:$F$204,0)),"")</f>
        <v/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3</v>
      </c>
      <c r="AF21" s="57">
        <f>3-COUNTBLANK(Women6[[#This Row],[RD1 XCC Eagle]:[RD3 XCO Sheps]])</f>
        <v>1</v>
      </c>
      <c r="AG21" s="57">
        <f>4-COUNTBLANK(Women6[[#This Row],[RD4 XCO Ohal]:[RD7 XCO O''Halloran]])</f>
        <v>2</v>
      </c>
      <c r="AH21" s="57">
        <f>2-COUNTBLANK(Women6[[#This Row],[RD8 XCO Fox Creek]:[RD9 XCO Willowie]])</f>
        <v>0</v>
      </c>
      <c r="AI21" s="57" cm="1">
        <f t="array" ref="AI21">IF(Women6[[#This Row],[Number of Rounds]]&lt;=6,SUM(IF(ISNA(V21:AD21),0,V21:AD21)),SUM(LARGE(V21:AD21,{1,2,3,4,5,6})))</f>
        <v>920</v>
      </c>
      <c r="AJ21" s="57" cm="1">
        <f t="array" ref="AJ21">IF(Women6[[#This Row],[Number of XCM Rounds]]&lt;=3,SUM(IF(ISNA(Y21:AB21),0,Y21:AB21)),SUM(LARGE(Y21:AB21,{1,2,3})))</f>
        <v>500</v>
      </c>
      <c r="AK21" s="57">
        <f>SUM(Women6[[#This Row],[RD8 XCO Fox Creek]:[RD9 XCO Willowie]])</f>
        <v>0</v>
      </c>
      <c r="AL21" s="57">
        <f>Women6[[#This Row],[Best 3 of 4 XCM]]+Women6[[#This Row],[Best 6 of 8 Overall]]+Women6[[#This Row],[Total of 2 XCO]]</f>
        <v>1420</v>
      </c>
      <c r="AM21" s="134" cm="1">
        <f t="array" ref="AM21">29-SUM(IF(AI21&gt;$AI$18:$AI$52,1/COUNTIF($AI$18:$AI$52,$AI$18:$AI$52)))</f>
        <v>4.0000000000000036</v>
      </c>
      <c r="AN21" s="18"/>
      <c r="AO21" s="103" t="s">
        <v>190</v>
      </c>
      <c r="AP21" s="69">
        <f>_xlfn.IFNA(INDEX('RD1 Eagle'!$I$2:$I$154,MATCH(Junior7[[#This Row],[Rider]],'RD1 Eagle'!$F$2:$F$154,0)),"")</f>
        <v>500</v>
      </c>
      <c r="AQ21" s="69">
        <f>_xlfn.IFNA(INDEX('RD2 Shepherds'!$I$2:$I$143,MATCH(Junior7[[#This Row],[Rider]],'RD2 Shepherds'!$F$2:$F$143,0)),"")</f>
        <v>500</v>
      </c>
      <c r="AR21" s="34" t="str">
        <f>_xlfn.IFNA(INDEX('RD3 XCO Sheps'!$I$2:$I$190,MATCH(Junior7[[#This Row],[Rider]],'RD3 XCO Sheps'!$F$2:$F$190,0)),"")</f>
        <v/>
      </c>
      <c r="AS21" s="34">
        <f>_xlfn.IFNA(INDEX('RD4 Ohalloran'!$I$2:$I$184,MATCH(Junior7[[#This Row],[Rider]],'RD4 Ohalloran'!$F$2:$F$184,0)),"")</f>
        <v>250</v>
      </c>
      <c r="AT21" s="34">
        <f>_xlfn.IFNA(INDEX('RD5 Craigburn'!$I$2:$I$168,MATCH(Junior7[[#This Row],[Rider]],'RD5 Craigburn'!$F$2:$F$168,0)),"")</f>
        <v>250</v>
      </c>
      <c r="AU21" s="57" t="str">
        <f>_xlfn.IFNA(INDEX('RD6 Kinchina'!$I$2:$I$199,MATCH(Junior7[[#This Row],[Rider]],'RD6 Kinchina'!$F$2:$F$199,0)),"")</f>
        <v/>
      </c>
      <c r="AV21" s="57" t="str">
        <f>_xlfn.IFNA(INDEX('RD7 O''Hallaron'!$I$2:$I$190,MATCH(Junior7[[#This Row],[Rider]],'RD7 O''Hallaron'!$F$2:$F$201,0)),"")</f>
        <v/>
      </c>
      <c r="AW21" s="57" t="str">
        <f>_xlfn.IFNA(INDEX('RD8 Fox Creek'!$I$2:$I$204,MATCH(Junior7[[#This Row],[Rider]],'RD8 Fox Creek'!$F$2:$F$204,0)),"")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4</v>
      </c>
      <c r="AZ21" s="24">
        <f>3-COUNTBLANK(Junior7[[#This Row],[RD1 XCC Eagle]:[RD3 XCO Sheps]])</f>
        <v>2</v>
      </c>
      <c r="BA21" s="24">
        <f>4-COUNTBLANK(Junior7[[#This Row],[RD4 XCO Ohal]:[RD7 XCO O''Halloran]])</f>
        <v>2</v>
      </c>
      <c r="BB21" s="24">
        <f>2-COUNTBLANK(Junior7[[#This Row],[RD8 XCO Fox Creek]:[RD9 XCO Willowie]])</f>
        <v>0</v>
      </c>
      <c r="BC21" s="34" cm="1">
        <f t="array" ref="BC21">IF(Junior7[[#This Row],[Number of Rounds]]&lt;=6,SUM(IF(ISNA(AP21:AX21),0,AP21:AX21)),SUM(LARGE(AP21:AX21,{1,2,3,4,5,6})))</f>
        <v>1500</v>
      </c>
      <c r="BD21" s="24" cm="1">
        <f t="array" ref="BD21">IF(Junior7[[#This Row],[Number of XCM Rounds]]&lt;=3,SUM(IF(ISNA(AS21:AV21),0,AS21:AV21)),SUM(LARGE(AS21:AV21,{1,2,3})))</f>
        <v>500</v>
      </c>
      <c r="BE21" s="24">
        <f>SUM(Junior7[[#This Row],[RD8 XCO Fox Creek]:[RD9 XCO Willowie]])</f>
        <v>0</v>
      </c>
      <c r="BF21" s="23">
        <f>Junior7[[#This Row],[Best 3 of 4 XCM]]+Junior7[[#This Row],[Best 6 of 8 Overall]]+Junior7[[#This Row],[Total of 2 XCO]]</f>
        <v>2000</v>
      </c>
      <c r="BG21" s="37" cm="1">
        <f t="array" ref="BG21">23-SUM(IF(BC21&gt;$BC$18:$BC$71,1/COUNTIF($BC$18:$BC$71,$BC$18:$BC$71)))</f>
        <v>3.9999999999999822</v>
      </c>
      <c r="BH21" s="18"/>
      <c r="BI21" s="103" t="s">
        <v>261</v>
      </c>
      <c r="BJ21" s="34" t="str">
        <f>_xlfn.IFNA(INDEX('RD1 Eagle'!$I$2:$I$154,MATCH(Women5108[[#This Row],[Rider]],'RD1 Eagle'!$F$2:$F$154,0)),"")</f>
        <v/>
      </c>
      <c r="BK21" s="34">
        <f>_xlfn.IFNA(INDEX('RD2 Shepherds'!$I$2:$I$143,MATCH(Women5108[[#This Row],[Rider]],'RD2 Shepherds'!$F$2:$F$143,0)),"")</f>
        <v>500</v>
      </c>
      <c r="BL21" s="34" t="str">
        <f>_xlfn.IFNA(INDEX('RD3 XCO Sheps'!$I$2:$I$115,MATCH(Women5108[[#This Row],[Rider]],'RD3 XCO Sheps'!$F$2:$F$115,0)),"")</f>
        <v/>
      </c>
      <c r="BM21" s="34" t="str">
        <f>_xlfn.IFNA(INDEX('RD4 Ohalloran'!$I$2:$I$109,MATCH(Women5108[[#This Row],[Rider]],'RD4 Ohalloran'!$F$2:$F$109,0)),"")</f>
        <v/>
      </c>
      <c r="BN21" s="34" t="str">
        <f>_xlfn.IFNA(INDEX('RD5 Craigburn'!$I$2:$I$164,MATCH(Women5108[[#This Row],[Rider]],'RD5 Craigburn'!$F$2:$F$164,0)),"")</f>
        <v/>
      </c>
      <c r="BO21" s="34" t="str">
        <f>_xlfn.IFNA(INDEX('RD6 Kinchina'!$I$2:$I$199,MATCH(Women5108[[#This Row],[Rider]],'RD6 Kinchina'!$F$2:$F$199,0)),"")</f>
        <v/>
      </c>
      <c r="BP21" s="34" t="str">
        <f>_xlfn.IFNA(INDEX('RD7 O''Hallaron'!$I$2:$I$190,MATCH(Women5108[[#This Row],[Rider]],'RD7 O''Hallaron'!$F$2:$F$201,0)),"")</f>
        <v/>
      </c>
      <c r="BQ21" s="34" t="str">
        <f>_xlfn.IFNA(INDEX('RD8 Fox Creek'!$I$2:$I$204,MATCH(Women5108[[#This Row],[Rider]],'RD8 Fox Creek'!$F$2:$F$204,0)),"")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XCO Ohal]:[RD7 XCO O''Halloran]])</f>
        <v>0</v>
      </c>
      <c r="BV21" s="34">
        <f>2-COUNTBLANK(Women5108[[#This Row],[RD8 XCO Fox Creek]:[RD9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Fox Creek]:[RD9 XCO Willowie]])</f>
        <v>0</v>
      </c>
      <c r="BZ21" s="23">
        <f>Women5108[[#This Row],[Best 6 of 8 Overall]]+Women5108[[#This Row],[Best 3 of 4 XCM]]+Women5108[[#This Row],[Total of 2 XCO]]</f>
        <v>500</v>
      </c>
      <c r="CA21" s="25" cm="1">
        <f t="array" ref="CA21">6-SUM(IF(BW21&gt;$BW$18:$BW$28,1/COUNTIF($BW$18:$BW$28,$BW$18:$BW$28)))</f>
        <v>3</v>
      </c>
    </row>
    <row r="22" spans="1:79" ht="16" x14ac:dyDescent="0.2">
      <c r="A22" s="103" t="s">
        <v>202</v>
      </c>
      <c r="B22" s="38">
        <f>_xlfn.IFNA(INDEX('RD1 Eagle'!$I$2:$I$154,MATCH(Men_5[[#This Row],[Rider]],'RD1 Eagle'!$F$2:$F$154,0)),"")</f>
        <v>350</v>
      </c>
      <c r="C22" s="38">
        <f>_xlfn.IFNA(INDEX('RD2 Shepherds'!$I$2:$I$143,MATCH(Men_5[[#This Row],[Rider]],'RD2 Shepherds'!$F$2:$F$143,0)),"")</f>
        <v>375</v>
      </c>
      <c r="D22" s="38" t="str">
        <f>_xlfn.IFNA(INDEX('RD3 XCO Sheps'!$I$2:$I$190,MATCH(Men_5[[#This Row],[Rider]],'RD3 XCO Sheps'!$F$2:$F$190,0)),"")</f>
        <v/>
      </c>
      <c r="E22" s="38">
        <f>_xlfn.IFNA(INDEX('RD4 Ohalloran'!$I$2:$I$180,MATCH(Men_5[[#This Row],[Rider]],'RD4 Ohalloran'!$F$2:$F$180,0)),"")</f>
        <v>350</v>
      </c>
      <c r="F22" s="38" t="str">
        <f>_xlfn.IFNA(INDEX('RD5 Craigburn'!$I$2:$I$164,MATCH(Men_5[[#This Row],[Rider]],'RD5 Craigburn'!$F$2:$F$164,0)),"")</f>
        <v/>
      </c>
      <c r="G22" s="38" t="str">
        <f>_xlfn.IFNA(INDEX('RD6 Kinchina'!$I$2:$I$200,MATCH(Men_5[[#This Row],[Rider]],'RD6 Kinchina'!$F$2:$F$200,0)),"")</f>
        <v/>
      </c>
      <c r="H22" s="38" t="str">
        <f>_xlfn.IFNA(INDEX('RD7 O''Hallaron'!$I$2:$I$190,MATCH(Men_5[[#This Row],[Rider]],'RD7 O''Hallaron'!$F$2:$F$201,0)),"")</f>
        <v/>
      </c>
      <c r="I22" s="38" t="str">
        <f>_xlfn.IFNA(INDEX('RD8 Fox Creek'!$I$2:$I$204,MATCH(Men_5[[#This Row],[Rider]],'RD8 Fox Creek'!$F$2:$F$204,0)),"")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3</v>
      </c>
      <c r="L22" s="59">
        <f>3-COUNTBLANK(Men_5[[#This Row],[RD1 XCC Eagle]:[RD3 XCO Sheps]])</f>
        <v>2</v>
      </c>
      <c r="M22" s="59">
        <f>4-COUNTBLANK(Men_5[[#This Row],[RD4 XCO Ohal]:[RD7 XCO O''Halloran]])</f>
        <v>1</v>
      </c>
      <c r="N22" s="59">
        <f>2-COUNTBLANK(Men_5[[#This Row],[RD8 XCO Fox Creek]:[RD9 XCO Willowie]])</f>
        <v>0</v>
      </c>
      <c r="O22" s="59" cm="1">
        <f t="array" ref="O22">IF(Men_5[[#This Row],[Number of Rounds]]&lt;=6,SUM(IF(ISNA(B22:J22),0,B22:J22)),SUM(LARGE(B22:J22,{1,2,3,4,5,6})))</f>
        <v>1075</v>
      </c>
      <c r="P22" s="59" cm="1">
        <f t="array" ref="P22">IF(Men_5[[#This Row],[Number of Rounds XCM]]&lt;=3,SUM(IF(ISNA(E22:H22),0,E22:H22)),SUM(LARGE(E22:H22,{1,2,3})))</f>
        <v>350</v>
      </c>
      <c r="Q22" s="59">
        <f>SUM(Men_5[[#This Row],[RD8 XCO Fox Creek]:[RD9 XCO Willowie]])</f>
        <v>0</v>
      </c>
      <c r="R22" s="59">
        <f>Men_5[[#This Row],[Best 6 of 8 Overall]]+Men_5[[#This Row],[Best 3 of 4 XCM]]+Men_5[[#This Row],[Total of 2 XCO]]</f>
        <v>1425</v>
      </c>
      <c r="S22" s="134" cm="1">
        <f t="array" ref="S22">68-SUM(IF(O22&gt;$O$18:$O$212,1/COUNTIF($O$18:$O$212,$O$18:$O$212)))</f>
        <v>4.9999999999998224</v>
      </c>
      <c r="T22" s="18"/>
      <c r="U22" s="103" t="s">
        <v>168</v>
      </c>
      <c r="V22" s="77">
        <f>_xlfn.IFNA(INDEX('RD1 Eagle'!$I$2:$I$154,MATCH(Women6[[#This Row],[Rider]],'RD1 Eagle'!$F$2:$F$154,0)),"")</f>
        <v>400</v>
      </c>
      <c r="W22" s="38" t="str">
        <f>_xlfn.IFNA(INDEX('RD2 Shepherds'!$I$2:$I$143,MATCH(Women6[[#This Row],[Rider]],'RD2 Shepherds'!$F$2:$F$143,0)),"")</f>
        <v/>
      </c>
      <c r="X22" s="34" t="str">
        <f>_xlfn.IFNA(INDEX('RD3 XCO Sheps'!$I$2:$I$190,MATCH(Women6[[#This Row],[Rider]],'RD3 XCO Sheps'!$F$2:$F$190,0)),"")</f>
        <v/>
      </c>
      <c r="Y22" s="34">
        <f>_xlfn.IFNA(INDEX('RD4 Ohalloran'!$I$2:$I$184,MATCH(Women6[[#This Row],[Rider]],'RD4 Ohalloran'!$F$2:$F$184,0)),"")</f>
        <v>250</v>
      </c>
      <c r="Z22" s="34">
        <f>_xlfn.IFNA(INDEX('RD5 Craigburn'!$I$2:$I$164,MATCH(Women6[[#This Row],[Rider]],'RD5 Craigburn'!$F$2:$F$164,0)),"")</f>
        <v>250</v>
      </c>
      <c r="AA22" s="34" t="str">
        <f>_xlfn.IFNA(INDEX('RD6 Kinchina'!$I$2:$I$199,MATCH(Women6[[#This Row],[Rider]],'RD6 Kinchina'!$F$2:$F$199,0)),"")</f>
        <v/>
      </c>
      <c r="AB22" s="34" t="str">
        <f>_xlfn.IFNA(INDEX('RD7 O''Hallaron'!$I$2:$I$190,MATCH(Women6[[#This Row],[Rider]],'RD7 O''Hallaron'!$F$2:$F$201,0)),"")</f>
        <v/>
      </c>
      <c r="AC22" s="34" t="str">
        <f>_xlfn.IFNA(INDEX('RD8 Fox Creek'!$I$2:$I$204,MATCH(Women6[[#This Row],[Rider]],'RD8 Fox Creek'!$F$2:$F$204,0)),"")</f>
        <v/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3</v>
      </c>
      <c r="AF22" s="57">
        <f>3-COUNTBLANK(Women6[[#This Row],[RD1 XCC Eagle]:[RD3 XCO Sheps]])</f>
        <v>1</v>
      </c>
      <c r="AG22" s="57">
        <f>4-COUNTBLANK(Women6[[#This Row],[RD4 XCO Ohal]:[RD7 XCO O''Halloran]])</f>
        <v>2</v>
      </c>
      <c r="AH22" s="57">
        <f>2-COUNTBLANK(Women6[[#This Row],[RD8 XCO Fox Creek]:[RD9 XCO Willowie]])</f>
        <v>0</v>
      </c>
      <c r="AI22" s="57" cm="1">
        <f t="array" ref="AI22">IF(Women6[[#This Row],[Number of Rounds]]&lt;=6,SUM(IF(ISNA(V22:AD22),0,V22:AD22)),SUM(LARGE(V22:AD22,{1,2,3,4,5,6})))</f>
        <v>900</v>
      </c>
      <c r="AJ22" s="57" cm="1">
        <f t="array" ref="AJ22">IF(Women6[[#This Row],[Number of XCM Rounds]]&lt;=3,SUM(IF(ISNA(Y22:AB22),0,Y22:AB22)),SUM(LARGE(Y22:AB22,{1,2,3})))</f>
        <v>500</v>
      </c>
      <c r="AK22" s="57">
        <f>SUM(Women6[[#This Row],[RD8 XCO Fox Creek]:[RD9 XCO Willowie]])</f>
        <v>0</v>
      </c>
      <c r="AL22" s="57">
        <f>Women6[[#This Row],[Best 3 of 4 XCM]]+Women6[[#This Row],[Best 6 of 8 Overall]]+Women6[[#This Row],[Total of 2 XCO]]</f>
        <v>1400</v>
      </c>
      <c r="AM22" s="134" cm="1">
        <f t="array" ref="AM22">29-SUM(IF(AI22&gt;$AI$18:$AI$52,1/COUNTIF($AI$18:$AI$52,$AI$18:$AI$52)))</f>
        <v>5.0000000000000036</v>
      </c>
      <c r="AN22" s="18"/>
      <c r="AO22" s="103" t="s">
        <v>197</v>
      </c>
      <c r="AP22" s="69">
        <f>_xlfn.IFNA(INDEX('RD1 Eagle'!$I$2:$I$154,MATCH(Junior7[[#This Row],[Rider]],'RD1 Eagle'!$F$2:$F$154,0)),"")</f>
        <v>450</v>
      </c>
      <c r="AQ22" s="69">
        <f>_xlfn.IFNA(INDEX('RD2 Shepherds'!$I$2:$I$143,MATCH(Junior7[[#This Row],[Rider]],'RD2 Shepherds'!$F$2:$F$143,0)),"")</f>
        <v>450</v>
      </c>
      <c r="AR22" s="34" t="str">
        <f>_xlfn.IFNA(INDEX('RD3 XCO Sheps'!$I$2:$I$190,MATCH(Junior7[[#This Row],[Rider]],'RD3 XCO Sheps'!$F$2:$F$190,0)),"")</f>
        <v/>
      </c>
      <c r="AS22" s="34">
        <f>_xlfn.IFNA(INDEX('RD4 Ohalloran'!$I$2:$I$184,MATCH(Junior7[[#This Row],[Rider]],'RD4 Ohalloran'!$F$2:$F$184,0)),"")</f>
        <v>250</v>
      </c>
      <c r="AT22" s="34">
        <f>_xlfn.IFNA(INDEX('RD5 Craigburn'!$I$2:$I$168,MATCH(Junior7[[#This Row],[Rider]],'RD5 Craigburn'!$F$2:$F$168,0)),"")</f>
        <v>250</v>
      </c>
      <c r="AU22" s="57" t="str">
        <f>_xlfn.IFNA(INDEX('RD6 Kinchina'!$I$2:$I$199,MATCH(Junior7[[#This Row],[Rider]],'RD6 Kinchina'!$F$2:$F$199,0)),"")</f>
        <v/>
      </c>
      <c r="AV22" s="57" t="str">
        <f>_xlfn.IFNA(INDEX('RD7 O''Hallaron'!$I$2:$I$190,MATCH(Junior7[[#This Row],[Rider]],'RD7 O''Hallaron'!$F$2:$F$201,0)),"")</f>
        <v/>
      </c>
      <c r="AW22" s="57" t="str">
        <f>_xlfn.IFNA(INDEX('RD8 Fox Creek'!$I$2:$I$204,MATCH(Junior7[[#This Row],[Rider]],'RD8 Fox Creek'!$F$2:$F$204,0)),"")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4</v>
      </c>
      <c r="AZ22" s="24">
        <f>3-COUNTBLANK(Junior7[[#This Row],[RD1 XCC Eagle]:[RD3 XCO Sheps]])</f>
        <v>2</v>
      </c>
      <c r="BA22" s="24">
        <f>4-COUNTBLANK(Junior7[[#This Row],[RD4 XCO Ohal]:[RD7 XCO O''Halloran]])</f>
        <v>2</v>
      </c>
      <c r="BB22" s="24">
        <f>2-COUNTBLANK(Junior7[[#This Row],[RD8 XCO Fox Creek]:[RD9 XCO Willowie]])</f>
        <v>0</v>
      </c>
      <c r="BC22" s="34" cm="1">
        <f t="array" ref="BC22">IF(Junior7[[#This Row],[Number of Rounds]]&lt;=6,SUM(IF(ISNA(AP22:AX22),0,AP22:AX22)),SUM(LARGE(AP22:AX22,{1,2,3,4,5,6})))</f>
        <v>1400</v>
      </c>
      <c r="BD22" s="24" cm="1">
        <f t="array" ref="BD22">IF(Junior7[[#This Row],[Number of XCM Rounds]]&lt;=3,SUM(IF(ISNA(AS22:AV22),0,AS22:AV22)),SUM(LARGE(AS22:AV22,{1,2,3})))</f>
        <v>500</v>
      </c>
      <c r="BE22" s="24">
        <f>SUM(Junior7[[#This Row],[RD8 XCO Fox Creek]:[RD9 XCO Willowie]])</f>
        <v>0</v>
      </c>
      <c r="BF22" s="23">
        <f>Junior7[[#This Row],[Best 3 of 4 XCM]]+Junior7[[#This Row],[Best 6 of 8 Overall]]+Junior7[[#This Row],[Total of 2 XCO]]</f>
        <v>1900</v>
      </c>
      <c r="BG22" s="37" cm="1">
        <f t="array" ref="BG22">23-SUM(IF(BC22&gt;$BC$18:$BC$71,1/COUNTIF($BC$18:$BC$71,$BC$18:$BC$71)))</f>
        <v>4.9999999999999822</v>
      </c>
      <c r="BH22" s="18"/>
      <c r="BI22" s="103" t="s">
        <v>255</v>
      </c>
      <c r="BJ22" s="34" t="str">
        <f>_xlfn.IFNA(INDEX('RD1 Eagle'!$I$2:$I$154,MATCH(Women5108[[#This Row],[Rider]],'RD1 Eagle'!$F$2:$F$154,0)),"")</f>
        <v/>
      </c>
      <c r="BK22" s="34">
        <f>_xlfn.IFNA(INDEX('RD2 Shepherds'!$I$2:$I$143,MATCH(Women5108[[#This Row],[Rider]],'RD2 Shepherds'!$F$2:$F$143,0)),"")</f>
        <v>500</v>
      </c>
      <c r="BL22" s="34" t="str">
        <f>_xlfn.IFNA(INDEX('RD3 XCO Sheps'!$I$2:$I$115,MATCH(Women5108[[#This Row],[Rider]],'RD3 XCO Sheps'!$F$2:$F$115,0)),"")</f>
        <v/>
      </c>
      <c r="BM22" s="34" t="str">
        <f>_xlfn.IFNA(INDEX('RD4 Ohalloran'!$I$2:$I$109,MATCH(Women5108[[#This Row],[Rider]],'RD4 Ohalloran'!$F$2:$F$109,0)),"")</f>
        <v/>
      </c>
      <c r="BN22" s="34" t="str">
        <f>_xlfn.IFNA(INDEX('RD5 Craigburn'!$I$2:$I$164,MATCH(Women5108[[#This Row],[Rider]],'RD5 Craigburn'!$F$2:$F$164,0)),"")</f>
        <v/>
      </c>
      <c r="BO22" s="34" t="str">
        <f>_xlfn.IFNA(INDEX('RD6 Kinchina'!$I$2:$I$199,MATCH(Women5108[[#This Row],[Rider]],'RD6 Kinchina'!$F$2:$F$199,0)),"")</f>
        <v/>
      </c>
      <c r="BP22" s="34" t="str">
        <f>_xlfn.IFNA(INDEX('RD7 O''Hallaron'!$I$2:$I$190,MATCH(Women5108[[#This Row],[Rider]],'RD7 O''Hallaron'!$F$2:$F$201,0)),"")</f>
        <v/>
      </c>
      <c r="BQ22" s="34" t="str">
        <f>_xlfn.IFNA(INDEX('RD8 Fox Creek'!$I$2:$I$204,MATCH(Women5108[[#This Row],[Rider]],'RD8 Fox Creek'!$F$2:$F$204,0)),"")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XCO Ohal]:[RD7 XCO O''Halloran]])</f>
        <v>0</v>
      </c>
      <c r="BV22" s="34">
        <f>2-COUNTBLANK(Women5108[[#This Row],[RD8 XCO Fox Creek]:[RD9 XCO Willowie]])</f>
        <v>0</v>
      </c>
      <c r="BW22" s="34" cm="1">
        <f t="array" ref="BW22">IF(Women5108[[#This Row],[Number of Rounds]]&lt;=6,SUM(IF(ISNA(BJ22:BR22),0,BJ22:BR22)),SUM(LARGE(BJ22:BR22,{1,2,3,4,5,6})))</f>
        <v>500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Fox Creek]:[RD9 XCO Willowie]])</f>
        <v>0</v>
      </c>
      <c r="BZ22" s="23">
        <f>Women5108[[#This Row],[Best 6 of 8 Overall]]+Women5108[[#This Row],[Best 3 of 4 XCM]]+Women5108[[#This Row],[Total of 2 XCO]]</f>
        <v>500</v>
      </c>
      <c r="CA22" s="25" cm="1">
        <f t="array" ref="CA22">6-SUM(IF(BW22&gt;$BW$18:$BW$28,1/COUNTIF($BW$18:$BW$28,$BW$18:$BW$28)))</f>
        <v>3</v>
      </c>
    </row>
    <row r="23" spans="1:79" ht="16" x14ac:dyDescent="0.2">
      <c r="A23" s="103" t="s">
        <v>223</v>
      </c>
      <c r="B23" s="38" t="str">
        <f>_xlfn.IFNA(INDEX('RD1 Eagle'!$I$2:$I$154,MATCH(Men_5[[#This Row],[Rider]],'RD1 Eagle'!$F$2:$F$154,0)),"")</f>
        <v/>
      </c>
      <c r="C23" s="38">
        <f>_xlfn.IFNA(INDEX('RD2 Shepherds'!$I$2:$I$143,MATCH(Men_5[[#This Row],[Rider]],'RD2 Shepherds'!$F$2:$F$143,0)),"")</f>
        <v>380</v>
      </c>
      <c r="D23" s="38" t="str">
        <f>_xlfn.IFNA(INDEX('RD3 XCO Sheps'!$I$2:$I$190,MATCH(Men_5[[#This Row],[Rider]],'RD3 XCO Sheps'!$F$2:$F$190,0)),"")</f>
        <v/>
      </c>
      <c r="E23" s="38">
        <f>_xlfn.IFNA(INDEX('RD4 Ohalloran'!$I$2:$I$180,MATCH(Men_5[[#This Row],[Rider]],'RD4 Ohalloran'!$F$2:$F$180,0)),"")</f>
        <v>320</v>
      </c>
      <c r="F23" s="38">
        <f>_xlfn.IFNA(INDEX('RD5 Craigburn'!$I$2:$I$164,MATCH(Men_5[[#This Row],[Rider]],'RD5 Craigburn'!$F$2:$F$164,0)),"")</f>
        <v>370</v>
      </c>
      <c r="G23" s="38" t="str">
        <f>_xlfn.IFNA(INDEX('RD6 Kinchina'!$I$2:$I$200,MATCH(Men_5[[#This Row],[Rider]],'RD6 Kinchina'!$F$2:$F$200,0)),"")</f>
        <v/>
      </c>
      <c r="H23" s="38" t="str">
        <f>_xlfn.IFNA(INDEX('RD7 O''Hallaron'!$I$2:$I$190,MATCH(Men_5[[#This Row],[Rider]],'RD7 O''Hallaron'!$F$2:$F$201,0)),"")</f>
        <v/>
      </c>
      <c r="I23" s="38" t="str">
        <f>_xlfn.IFNA(INDEX('RD8 Fox Creek'!$I$2:$I$204,MATCH(Men_5[[#This Row],[Rider]],'RD8 Fox Creek'!$F$2:$F$204,0)),"")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3</v>
      </c>
      <c r="L23" s="59">
        <f>3-COUNTBLANK(Men_5[[#This Row],[RD1 XCC Eagle]:[RD3 XCO Sheps]])</f>
        <v>1</v>
      </c>
      <c r="M23" s="59">
        <f>4-COUNTBLANK(Men_5[[#This Row],[RD4 XCO Ohal]:[RD7 XCO O''Halloran]])</f>
        <v>2</v>
      </c>
      <c r="N23" s="59">
        <f>2-COUNTBLANK(Men_5[[#This Row],[RD8 XCO Fox Creek]:[RD9 XCO Willowie]])</f>
        <v>0</v>
      </c>
      <c r="O23" s="59" cm="1">
        <f t="array" ref="O23">IF(Men_5[[#This Row],[Number of Rounds]]&lt;=6,SUM(IF(ISNA(B23:J23),0,B23:J23)),SUM(LARGE(B23:J23,{1,2,3,4,5,6})))</f>
        <v>1070</v>
      </c>
      <c r="P23" s="59" cm="1">
        <f t="array" ref="P23">IF(Men_5[[#This Row],[Number of Rounds XCM]]&lt;=3,SUM(IF(ISNA(E23:H23),0,E23:H23)),SUM(LARGE(E23:H23,{1,2,3})))</f>
        <v>690</v>
      </c>
      <c r="Q23" s="59">
        <f>SUM(Men_5[[#This Row],[RD8 XCO Fox Creek]:[RD9 XCO Willowie]])</f>
        <v>0</v>
      </c>
      <c r="R23" s="59">
        <f>Men_5[[#This Row],[Best 6 of 8 Overall]]+Men_5[[#This Row],[Best 3 of 4 XCM]]+Men_5[[#This Row],[Total of 2 XCO]]</f>
        <v>1760</v>
      </c>
      <c r="S23" s="134" cm="1">
        <f t="array" ref="S23">68-SUM(IF(O23&gt;$O$18:$O$212,1/COUNTIF($O$18:$O$212,$O$18:$O$212)))</f>
        <v>5.9999999999998224</v>
      </c>
      <c r="T23" s="18"/>
      <c r="U23" s="103" t="s">
        <v>213</v>
      </c>
      <c r="V23" s="77">
        <f>_xlfn.IFNA(INDEX('RD1 Eagle'!$I$2:$I$154,MATCH(Women6[[#This Row],[Rider]],'RD1 Eagle'!$F$2:$F$154,0)),"")</f>
        <v>266</v>
      </c>
      <c r="W23" s="38">
        <f>_xlfn.IFNA(INDEX('RD2 Shepherds'!$I$2:$I$143,MATCH(Women6[[#This Row],[Rider]],'RD2 Shepherds'!$F$2:$F$143,0)),"")</f>
        <v>259</v>
      </c>
      <c r="X23" s="34" t="str">
        <f>_xlfn.IFNA(INDEX('RD3 XCO Sheps'!$I$2:$I$190,MATCH(Women6[[#This Row],[Rider]],'RD3 XCO Sheps'!$F$2:$F$190,0)),"")</f>
        <v/>
      </c>
      <c r="Y23" s="34">
        <f>_xlfn.IFNA(INDEX('RD4 Ohalloran'!$I$2:$I$184,MATCH(Women6[[#This Row],[Rider]],'RD4 Ohalloran'!$F$2:$F$184,0)),"")</f>
        <v>315</v>
      </c>
      <c r="Z23" s="34" t="str">
        <f>_xlfn.IFNA(INDEX('RD5 Craigburn'!$I$2:$I$164,MATCH(Women6[[#This Row],[Rider]],'RD5 Craigburn'!$F$2:$F$164,0)),"")</f>
        <v/>
      </c>
      <c r="AA23" s="34" t="str">
        <f>_xlfn.IFNA(INDEX('RD6 Kinchina'!$I$2:$I$199,MATCH(Women6[[#This Row],[Rider]],'RD6 Kinchina'!$F$2:$F$199,0)),"")</f>
        <v/>
      </c>
      <c r="AB23" s="34" t="str">
        <f>_xlfn.IFNA(INDEX('RD7 O''Hallaron'!$I$2:$I$190,MATCH(Women6[[#This Row],[Rider]],'RD7 O''Hallaron'!$F$2:$F$201,0)),"")</f>
        <v/>
      </c>
      <c r="AC23" s="34" t="str">
        <f>_xlfn.IFNA(INDEX('RD8 Fox Creek'!$I$2:$I$204,MATCH(Women6[[#This Row],[Rider]],'RD8 Fox Creek'!$F$2:$F$204,0)),"")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3</v>
      </c>
      <c r="AF23" s="57">
        <f>3-COUNTBLANK(Women6[[#This Row],[RD1 XCC Eagle]:[RD3 XCO Sheps]])</f>
        <v>2</v>
      </c>
      <c r="AG23" s="57">
        <f>4-COUNTBLANK(Women6[[#This Row],[RD4 XCO Ohal]:[RD7 XCO O''Halloran]])</f>
        <v>1</v>
      </c>
      <c r="AH23" s="57">
        <f>2-COUNTBLANK(Women6[[#This Row],[RD8 XCO Fox Creek]:[RD9 XCO Willowie]])</f>
        <v>0</v>
      </c>
      <c r="AI23" s="57" cm="1">
        <f t="array" ref="AI23">IF(Women6[[#This Row],[Number of Rounds]]&lt;=6,SUM(IF(ISNA(V23:AD23),0,V23:AD23)),SUM(LARGE(V23:AD23,{1,2,3,4,5,6})))</f>
        <v>840</v>
      </c>
      <c r="AJ23" s="57" cm="1">
        <f t="array" ref="AJ23">IF(Women6[[#This Row],[Number of XCM Rounds]]&lt;=3,SUM(IF(ISNA(Y23:AB23),0,Y23:AB23)),SUM(LARGE(Y23:AB23,{1,2,3})))</f>
        <v>315</v>
      </c>
      <c r="AK23" s="57">
        <f>SUM(Women6[[#This Row],[RD8 XCO Fox Creek]:[RD9 XCO Willowie]])</f>
        <v>0</v>
      </c>
      <c r="AL23" s="57">
        <f>Women6[[#This Row],[Best 3 of 4 XCM]]+Women6[[#This Row],[Best 6 of 8 Overall]]+Women6[[#This Row],[Total of 2 XCO]]</f>
        <v>1155</v>
      </c>
      <c r="AM23" s="134" cm="1">
        <f t="array" ref="AM23">29-SUM(IF(AI23&gt;$AI$18:$AI$52,1/COUNTIF($AI$18:$AI$52,$AI$18:$AI$52)))</f>
        <v>6.0000000000000036</v>
      </c>
      <c r="AN23" s="18"/>
      <c r="AO23" s="103" t="s">
        <v>218</v>
      </c>
      <c r="AP23" s="69">
        <f>_xlfn.IFNA(INDEX('RD1 Eagle'!$I$2:$I$154,MATCH(Junior7[[#This Row],[Rider]],'RD1 Eagle'!$F$2:$F$154,0)),"")</f>
        <v>420</v>
      </c>
      <c r="AQ23" s="69">
        <f>_xlfn.IFNA(INDEX('RD2 Shepherds'!$I$2:$I$143,MATCH(Junior7[[#This Row],[Rider]],'RD2 Shepherds'!$F$2:$F$143,0)),"")</f>
        <v>450</v>
      </c>
      <c r="AR23" s="34" t="str">
        <f>_xlfn.IFNA(INDEX('RD3 XCO Sheps'!$I$2:$I$190,MATCH(Junior7[[#This Row],[Rider]],'RD3 XCO Sheps'!$F$2:$F$190,0)),"")</f>
        <v/>
      </c>
      <c r="AS23" s="34">
        <f>_xlfn.IFNA(INDEX('RD4 Ohalloran'!$I$2:$I$184,MATCH(Junior7[[#This Row],[Rider]],'RD4 Ohalloran'!$F$2:$F$184,0)),"")</f>
        <v>420</v>
      </c>
      <c r="AT23" s="34" t="str">
        <f>_xlfn.IFNA(INDEX('RD5 Craigburn'!$I$2:$I$168,MATCH(Junior7[[#This Row],[Rider]],'RD5 Craigburn'!$F$2:$F$168,0)),"")</f>
        <v/>
      </c>
      <c r="AU23" s="57" t="str">
        <f>_xlfn.IFNA(INDEX('RD6 Kinchina'!$I$2:$I$199,MATCH(Junior7[[#This Row],[Rider]],'RD6 Kinchina'!$F$2:$F$199,0)),"")</f>
        <v/>
      </c>
      <c r="AV23" s="57" t="str">
        <f>_xlfn.IFNA(INDEX('RD7 O''Hallaron'!$I$2:$I$190,MATCH(Junior7[[#This Row],[Rider]],'RD7 O''Hallaron'!$F$2:$F$201,0)),"")</f>
        <v/>
      </c>
      <c r="AW23" s="57" t="str">
        <f>_xlfn.IFNA(INDEX('RD8 Fox Creek'!$I$2:$I$204,MATCH(Junior7[[#This Row],[Rider]],'RD8 Fox Creek'!$F$2:$F$204,0)),"")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3</v>
      </c>
      <c r="AZ23" s="24">
        <f>3-COUNTBLANK(Junior7[[#This Row],[RD1 XCC Eagle]:[RD3 XCO Sheps]])</f>
        <v>2</v>
      </c>
      <c r="BA23" s="24">
        <f>4-COUNTBLANK(Junior7[[#This Row],[RD4 XCO Ohal]:[RD7 XCO O''Halloran]])</f>
        <v>1</v>
      </c>
      <c r="BB23" s="24">
        <f>2-COUNTBLANK(Junior7[[#This Row],[RD8 XCO Fox Creek]:[RD9 XCO Willowie]])</f>
        <v>0</v>
      </c>
      <c r="BC23" s="34" cm="1">
        <f t="array" ref="BC23">IF(Junior7[[#This Row],[Number of Rounds]]&lt;=6,SUM(IF(ISNA(AP23:AX23),0,AP23:AX23)),SUM(LARGE(AP23:AX23,{1,2,3,4,5,6})))</f>
        <v>1290</v>
      </c>
      <c r="BD23" s="24" cm="1">
        <f t="array" ref="BD23">IF(Junior7[[#This Row],[Number of XCM Rounds]]&lt;=3,SUM(IF(ISNA(AS23:AV23),0,AS23:AV23)),SUM(LARGE(AS23:AV23,{1,2,3})))</f>
        <v>420</v>
      </c>
      <c r="BE23" s="24">
        <f>SUM(Junior7[[#This Row],[RD8 XCO Fox Creek]:[RD9 XCO Willowie]])</f>
        <v>0</v>
      </c>
      <c r="BF23" s="23">
        <f>Junior7[[#This Row],[Best 3 of 4 XCM]]+Junior7[[#This Row],[Best 6 of 8 Overall]]+Junior7[[#This Row],[Total of 2 XCO]]</f>
        <v>1710</v>
      </c>
      <c r="BG23" s="37" cm="1">
        <f t="array" ref="BG23">23-SUM(IF(BC23&gt;$BC$18:$BC$71,1/COUNTIF($BC$18:$BC$71,$BC$18:$BC$71)))</f>
        <v>5.9999999999999787</v>
      </c>
      <c r="BH23" s="18"/>
      <c r="BI23" s="103" t="s">
        <v>263</v>
      </c>
      <c r="BJ23" s="120" t="str">
        <f>_xlfn.IFNA(INDEX('RD1 Eagle'!$I$2:$I$154,MATCH(Women5108[[#This Row],[Rider]],'RD1 Eagle'!$F$2:$F$154,0)),"")</f>
        <v/>
      </c>
      <c r="BK23" s="120">
        <f>_xlfn.IFNA(INDEX('RD2 Shepherds'!$I$2:$I$143,MATCH(Women5108[[#This Row],[Rider]],'RD2 Shepherds'!$F$2:$F$143,0)),"")</f>
        <v>420</v>
      </c>
      <c r="BL23" s="71" t="str">
        <f>_xlfn.IFNA(INDEX('RD3 XCO Sheps'!$I$2:$I$115,MATCH(Women5108[[#This Row],[Rider]],'RD3 XCO Sheps'!$F$2:$F$115,0)),"")</f>
        <v/>
      </c>
      <c r="BM23" s="71" t="str">
        <f>_xlfn.IFNA(INDEX('RD4 Ohalloran'!$I$2:$I$109,MATCH(Women5108[[#This Row],[Rider]],'RD4 Ohalloran'!$F$2:$F$109,0)),"")</f>
        <v/>
      </c>
      <c r="BN23" s="71" t="str">
        <f>_xlfn.IFNA(INDEX('RD5 Craigburn'!$I$2:$I$164,MATCH(Women5108[[#This Row],[Rider]],'RD5 Craigburn'!$F$2:$F$164,0)),"")</f>
        <v/>
      </c>
      <c r="BO23" s="71" t="str">
        <f>_xlfn.IFNA(INDEX('RD6 Kinchina'!$I$2:$I$199,MATCH(Women5108[[#This Row],[Rider]],'RD6 Kinchina'!$F$2:$F$199,0)),"")</f>
        <v/>
      </c>
      <c r="BP23" s="71" t="str">
        <f>_xlfn.IFNA(INDEX('RD7 O''Hallaron'!$I$2:$I$190,MATCH(Women5108[[#This Row],[Rider]],'RD7 O''Hallaron'!$F$2:$F$201,0)),"")</f>
        <v/>
      </c>
      <c r="BQ23" s="71" t="str">
        <f>_xlfn.IFNA(INDEX('RD8 Fox Creek'!$I$2:$I$204,MATCH(Women5108[[#This Row],[Rider]],'RD8 Fox Creek'!$F$2:$F$204,0)),"")</f>
        <v/>
      </c>
      <c r="BR23" s="71" t="str">
        <f>_xlfn.IFNA(INDEX('RD9 XCM Melrose W'!$I$2:$I$194,MATCH(Women5108[[#This Row],[Rider]],'RD9 XCM Melrose W'!$F$2:$F$194,0)),"")</f>
        <v/>
      </c>
      <c r="BS23" s="71">
        <f>9-COUNTBLANK(Women5108[[#This Row],[RD1 XCC Eagle]:[RD9 XCO Willowie]])</f>
        <v>1</v>
      </c>
      <c r="BT23" s="71">
        <f>3-COUNTBLANK(Women5108[[#This Row],[RD1 XCC Eagle]:[RD3 XCO Sheps]])</f>
        <v>1</v>
      </c>
      <c r="BU23" s="71">
        <f>4-COUNTBLANK(Women5108[[#This Row],[RD4 XCO Ohal]:[RD7 XCO O''Halloran]])</f>
        <v>0</v>
      </c>
      <c r="BV23" s="71">
        <f>2-COUNTBLANK(Women5108[[#This Row],[RD8 XCO Fox Creek]:[RD9 XCO Willowie]])</f>
        <v>0</v>
      </c>
      <c r="BW23" s="71" cm="1">
        <f t="array" ref="BW23">IF(Women5108[[#This Row],[Number of Rounds]]&lt;=6,SUM(IF(ISNA(BJ23:BR23),0,BJ23:BR23)),SUM(LARGE(BJ23:BR23,{1,2,3,4,5,6})))</f>
        <v>420</v>
      </c>
      <c r="BX23" s="87" cm="1">
        <f t="array" ref="BX23">IF(Women5108[[#This Row],[Number of Rounds XCM]]&lt;=3,SUM(IF(ISNA(BM23:BO23),0,BM23:BO23)),SUM(LARGE(BM23:BO23,{1,2,3})))</f>
        <v>0</v>
      </c>
      <c r="BY23" s="87">
        <f>SUM(Women5108[[#This Row],[RD8 XCO Fox Creek]:[RD9 XCO Willowie]])</f>
        <v>0</v>
      </c>
      <c r="BZ23" s="23">
        <f>Women5108[[#This Row],[Best 6 of 8 Overall]]+Women5108[[#This Row],[Best 3 of 4 XCM]]+Women5108[[#This Row],[Total of 2 XCO]]</f>
        <v>420</v>
      </c>
      <c r="CA23" s="37" cm="1">
        <f t="array" ref="CA23">6-SUM(IF(BW23&gt;$BW$18:$BW$28,1/COUNTIF($BW$18:$BW$28,$BW$18:$BW$28)))</f>
        <v>4</v>
      </c>
    </row>
    <row r="24" spans="1:79" ht="16" x14ac:dyDescent="0.2">
      <c r="A24" s="103" t="s">
        <v>181</v>
      </c>
      <c r="B24" s="38">
        <f>_xlfn.IFNA(INDEX('RD1 Eagle'!$I$2:$I$154,MATCH(Men_5[[#This Row],[Rider]],'RD1 Eagle'!$F$2:$F$154,0)),"")</f>
        <v>500</v>
      </c>
      <c r="C24" s="38" t="str">
        <f>_xlfn.IFNA(INDEX('RD2 Shepherds'!$I$2:$I$143,MATCH(Men_5[[#This Row],[Rider]],'RD2 Shepherds'!$F$2:$F$143,0)),"")</f>
        <v/>
      </c>
      <c r="D24" s="38" t="str">
        <f>_xlfn.IFNA(INDEX('RD3 XCO Sheps'!$I$2:$I$190,MATCH(Men_5[[#This Row],[Rider]],'RD3 XCO Sheps'!$F$2:$F$190,0)),"")</f>
        <v/>
      </c>
      <c r="E24" s="38">
        <f>_xlfn.IFNA(INDEX('RD4 Ohalloran'!$I$2:$I$180,MATCH(Men_5[[#This Row],[Rider]],'RD4 Ohalloran'!$F$2:$F$180,0)),"")</f>
        <v>500</v>
      </c>
      <c r="F24" s="38" t="str">
        <f>_xlfn.IFNA(INDEX('RD5 Craigburn'!$I$2:$I$164,MATCH(Men_5[[#This Row],[Rider]],'RD5 Craigburn'!$F$2:$F$164,0)),"")</f>
        <v/>
      </c>
      <c r="G24" s="38" t="str">
        <f>_xlfn.IFNA(INDEX('RD6 Kinchina'!$I$2:$I$200,MATCH(Men_5[[#This Row],[Rider]],'RD6 Kinchina'!$F$2:$F$200,0)),"")</f>
        <v/>
      </c>
      <c r="H24" s="38" t="str">
        <f>_xlfn.IFNA(INDEX('RD7 O''Hallaron'!$I$2:$I$190,MATCH(Men_5[[#This Row],[Rider]],'RD7 O''Hallaron'!$F$2:$F$201,0)),"")</f>
        <v/>
      </c>
      <c r="I24" s="38" t="str">
        <f>_xlfn.IFNA(INDEX('RD8 Fox Creek'!$I$2:$I$204,MATCH(Men_5[[#This Row],[Rider]],'RD8 Fox Creek'!$F$2:$F$204,0)),"")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2</v>
      </c>
      <c r="L24" s="59">
        <f>3-COUNTBLANK(Men_5[[#This Row],[RD1 XCC Eagle]:[RD3 XCO Sheps]])</f>
        <v>1</v>
      </c>
      <c r="M24" s="59">
        <f>4-COUNTBLANK(Men_5[[#This Row],[RD4 XCO Ohal]:[RD7 XCO O''Halloran]])</f>
        <v>1</v>
      </c>
      <c r="N24" s="59">
        <f>2-COUNTBLANK(Men_5[[#This Row],[RD8 XCO Fox Creek]:[RD9 XCO Willowie]])</f>
        <v>0</v>
      </c>
      <c r="O24" s="59" cm="1">
        <f t="array" ref="O24">IF(Men_5[[#This Row],[Number of Rounds]]&lt;=6,SUM(IF(ISNA(B24:J24),0,B24:J24)),SUM(LARGE(B24:J24,{1,2,3,4,5,6})))</f>
        <v>1000</v>
      </c>
      <c r="P24" s="59" cm="1">
        <f t="array" ref="P24">IF(Men_5[[#This Row],[Number of Rounds XCM]]&lt;=3,SUM(IF(ISNA(E24:H24),0,E24:H24)),SUM(LARGE(E24:H24,{1,2,3})))</f>
        <v>500</v>
      </c>
      <c r="Q24" s="59">
        <f>SUM(Men_5[[#This Row],[RD8 XCO Fox Creek]:[RD9 XCO Willowie]])</f>
        <v>0</v>
      </c>
      <c r="R24" s="59">
        <f>Men_5[[#This Row],[Best 6 of 8 Overall]]+Men_5[[#This Row],[Best 3 of 4 XCM]]+Men_5[[#This Row],[Total of 2 XCO]]</f>
        <v>1500</v>
      </c>
      <c r="S24" s="134" cm="1">
        <f t="array" ref="S24">68-SUM(IF(O24&gt;$O$18:$O$212,1/COUNTIF($O$18:$O$212,$O$18:$O$212)))</f>
        <v>6.9999999999998224</v>
      </c>
      <c r="T24" s="18"/>
      <c r="U24" s="103" t="s">
        <v>185</v>
      </c>
      <c r="V24" s="77">
        <f>_xlfn.IFNA(INDEX('RD1 Eagle'!$I$2:$I$154,MATCH(Women6[[#This Row],[Rider]],'RD1 Eagle'!$F$2:$F$154,0)),"")</f>
        <v>315</v>
      </c>
      <c r="W24" s="38" t="str">
        <f>_xlfn.IFNA(INDEX('RD2 Shepherds'!$I$2:$I$143,MATCH(Women6[[#This Row],[Rider]],'RD2 Shepherds'!$F$2:$F$143,0)),"")</f>
        <v/>
      </c>
      <c r="X24" s="34" t="str">
        <f>_xlfn.IFNA(INDEX('RD3 XCO Sheps'!$I$2:$I$190,MATCH(Women6[[#This Row],[Rider]],'RD3 XCO Sheps'!$F$2:$F$190,0)),"")</f>
        <v/>
      </c>
      <c r="Y24" s="34">
        <f>_xlfn.IFNA(INDEX('RD4 Ohalloran'!$I$2:$I$184,MATCH(Women6[[#This Row],[Rider]],'RD4 Ohalloran'!$F$2:$F$184,0)),"")</f>
        <v>225</v>
      </c>
      <c r="Z24" s="34">
        <f>_xlfn.IFNA(INDEX('RD5 Craigburn'!$I$2:$I$164,MATCH(Women6[[#This Row],[Rider]],'RD5 Craigburn'!$F$2:$F$164,0)),"")</f>
        <v>250</v>
      </c>
      <c r="AA24" s="34" t="str">
        <f>_xlfn.IFNA(INDEX('RD6 Kinchina'!$I$2:$I$199,MATCH(Women6[[#This Row],[Rider]],'RD6 Kinchina'!$F$2:$F$199,0)),"")</f>
        <v/>
      </c>
      <c r="AB24" s="34" t="str">
        <f>_xlfn.IFNA(INDEX('RD7 O''Hallaron'!$I$2:$I$190,MATCH(Women6[[#This Row],[Rider]],'RD7 O''Hallaron'!$F$2:$F$201,0)),"")</f>
        <v/>
      </c>
      <c r="AC24" s="34" t="str">
        <f>_xlfn.IFNA(INDEX('RD8 Fox Creek'!$I$2:$I$204,MATCH(Women6[[#This Row],[Rider]],'RD8 Fox Creek'!$F$2:$F$204,0)),"")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3</v>
      </c>
      <c r="AF24" s="57">
        <f>3-COUNTBLANK(Women6[[#This Row],[RD1 XCC Eagle]:[RD3 XCO Sheps]])</f>
        <v>1</v>
      </c>
      <c r="AG24" s="57">
        <f>4-COUNTBLANK(Women6[[#This Row],[RD4 XCO Ohal]:[RD7 XCO O''Halloran]])</f>
        <v>2</v>
      </c>
      <c r="AH24" s="57">
        <f>2-COUNTBLANK(Women6[[#This Row],[RD8 XCO Fox Creek]:[RD9 XCO Willowie]])</f>
        <v>0</v>
      </c>
      <c r="AI24" s="57" cm="1">
        <f t="array" ref="AI24">IF(Women6[[#This Row],[Number of Rounds]]&lt;=6,SUM(IF(ISNA(V24:AD24),0,V24:AD24)),SUM(LARGE(V24:AD24,{1,2,3,4,5,6})))</f>
        <v>790</v>
      </c>
      <c r="AJ24" s="57" cm="1">
        <f t="array" ref="AJ24">IF(Women6[[#This Row],[Number of XCM Rounds]]&lt;=3,SUM(IF(ISNA(Y24:AB24),0,Y24:AB24)),SUM(LARGE(Y24:AB24,{1,2,3})))</f>
        <v>475</v>
      </c>
      <c r="AK24" s="57">
        <f>SUM(Women6[[#This Row],[RD8 XCO Fox Creek]:[RD9 XCO Willowie]])</f>
        <v>0</v>
      </c>
      <c r="AL24" s="57">
        <f>Women6[[#This Row],[Best 3 of 4 XCM]]+Women6[[#This Row],[Best 6 of 8 Overall]]+Women6[[#This Row],[Total of 2 XCO]]</f>
        <v>1265</v>
      </c>
      <c r="AM24" s="134" cm="1">
        <f t="array" ref="AM24">29-SUM(IF(AI24&gt;$AI$18:$AI$52,1/COUNTIF($AI$18:$AI$52,$AI$18:$AI$52)))</f>
        <v>7.0000000000000036</v>
      </c>
      <c r="AN24" s="18"/>
      <c r="AO24" s="103" t="s">
        <v>176</v>
      </c>
      <c r="AP24" s="69">
        <f>_xlfn.IFNA(INDEX('RD1 Eagle'!$I$2:$I$154,MATCH(Junior7[[#This Row],[Rider]],'RD1 Eagle'!$F$2:$F$154,0)),"")</f>
        <v>450</v>
      </c>
      <c r="AQ24" s="69" t="str">
        <f>_xlfn.IFNA(INDEX('RD2 Shepherds'!$I$2:$I$143,MATCH(Junior7[[#This Row],[Rider]],'RD2 Shepherds'!$F$2:$F$143,0)),"")</f>
        <v/>
      </c>
      <c r="AR24" s="34" t="str">
        <f>_xlfn.IFNA(INDEX('RD3 XCO Sheps'!$I$2:$I$190,MATCH(Junior7[[#This Row],[Rider]],'RD3 XCO Sheps'!$F$2:$F$190,0)),"")</f>
        <v/>
      </c>
      <c r="AS24" s="34">
        <f>_xlfn.IFNA(INDEX('RD4 Ohalloran'!$I$2:$I$184,MATCH(Junior7[[#This Row],[Rider]],'RD4 Ohalloran'!$F$2:$F$184,0)),"")</f>
        <v>500</v>
      </c>
      <c r="AT24" s="34" t="str">
        <f>_xlfn.IFNA(INDEX('RD5 Craigburn'!$I$2:$I$168,MATCH(Junior7[[#This Row],[Rider]],'RD5 Craigburn'!$F$2:$F$168,0)),"")</f>
        <v/>
      </c>
      <c r="AU24" s="57" t="str">
        <f>_xlfn.IFNA(INDEX('RD6 Kinchina'!$I$2:$I$199,MATCH(Junior7[[#This Row],[Rider]],'RD6 Kinchina'!$F$2:$F$199,0)),"")</f>
        <v/>
      </c>
      <c r="AV24" s="57" t="str">
        <f>_xlfn.IFNA(INDEX('RD7 O''Hallaron'!$I$2:$I$190,MATCH(Junior7[[#This Row],[Rider]],'RD7 O''Hallaron'!$F$2:$F$201,0)),"")</f>
        <v/>
      </c>
      <c r="AW24" s="57" t="str">
        <f>_xlfn.IFNA(INDEX('RD8 Fox Creek'!$I$2:$I$204,MATCH(Junior7[[#This Row],[Rider]],'RD8 Fox Creek'!$F$2:$F$204,0)),"")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2</v>
      </c>
      <c r="AZ24" s="47">
        <f>3-COUNTBLANK(Junior7[[#This Row],[RD1 XCC Eagle]:[RD3 XCO Sheps]])</f>
        <v>1</v>
      </c>
      <c r="BA24" s="47">
        <f>4-COUNTBLANK(Junior7[[#This Row],[RD4 XCO Ohal]:[RD7 XCO O''Halloran]])</f>
        <v>1</v>
      </c>
      <c r="BB24" s="47">
        <f>2-COUNTBLANK(Junior7[[#This Row],[RD8 XCO Fox Creek]:[RD9 XCO Willowie]])</f>
        <v>0</v>
      </c>
      <c r="BC24" s="76" cm="1">
        <f t="array" ref="BC24">IF(Junior7[[#This Row],[Number of Rounds]]&lt;=6,SUM(IF(ISNA(AP24:AX24),0,AP24:AX24)),SUM(LARGE(AP24:AX24,{1,2,3,4,5,6})))</f>
        <v>950</v>
      </c>
      <c r="BD24" s="47" cm="1">
        <f t="array" ref="BD24">IF(Junior7[[#This Row],[Number of XCM Rounds]]&lt;=3,SUM(IF(ISNA(AS24:AV24),0,AS24:AV24)),SUM(LARGE(AS24:AV24,{1,2,3})))</f>
        <v>500</v>
      </c>
      <c r="BE24" s="47">
        <f>SUM(Junior7[[#This Row],[RD8 XCO Fox Creek]:[RD9 XCO Willowie]])</f>
        <v>0</v>
      </c>
      <c r="BF24" s="46">
        <f>Junior7[[#This Row],[Best 3 of 4 XCM]]+Junior7[[#This Row],[Best 6 of 8 Overall]]+Junior7[[#This Row],[Total of 2 XCO]]</f>
        <v>1450</v>
      </c>
      <c r="BG24" s="37" cm="1">
        <f t="array" ref="BG24">23-SUM(IF(BC24&gt;$BC$18:$BC$71,1/COUNTIF($BC$18:$BC$71,$BC$18:$BC$71)))</f>
        <v>6.9999999999999787</v>
      </c>
      <c r="BH24" s="18"/>
      <c r="BI24" s="103" t="s">
        <v>325</v>
      </c>
      <c r="BJ24" s="34" t="str">
        <f>_xlfn.IFNA(INDEX('RD1 Eagle'!$I$2:$I$154,MATCH(Women5108[[#This Row],[Rider]],'RD1 Eagle'!$F$2:$F$154,0)),"")</f>
        <v/>
      </c>
      <c r="BK24" s="34" t="str">
        <f>_xlfn.IFNA(INDEX('RD2 Shepherds'!$I$2:$I$143,MATCH(Women5108[[#This Row],[Rider]],'RD2 Shepherds'!$F$2:$F$143,0)),"")</f>
        <v/>
      </c>
      <c r="BL24" s="34" t="str">
        <f>_xlfn.IFNA(INDEX('RD3 XCO Sheps'!$I$2:$I$115,MATCH(Women5108[[#This Row],[Rider]],'RD3 XCO Sheps'!$F$2:$F$115,0)),"")</f>
        <v/>
      </c>
      <c r="BM24" s="34" t="str">
        <f>_xlfn.IFNA(INDEX('RD4 Ohalloran'!$I$2:$I$109,MATCH(Women5108[[#This Row],[Rider]],'RD4 Ohalloran'!$F$2:$F$109,0)),"")</f>
        <v/>
      </c>
      <c r="BN24" s="34">
        <f>_xlfn.IFNA(INDEX('RD5 Craigburn'!$I$2:$I$164,MATCH(Women5108[[#This Row],[Rider]],'RD5 Craigburn'!$F$2:$F$164,0)),"")</f>
        <v>210</v>
      </c>
      <c r="BO24" s="34" t="str">
        <f>_xlfn.IFNA(INDEX('RD6 Kinchina'!$I$2:$I$199,MATCH(Women5108[[#This Row],[Rider]],'RD6 Kinchina'!$F$2:$F$199,0)),"")</f>
        <v/>
      </c>
      <c r="BP24" s="34" t="str">
        <f>_xlfn.IFNA(INDEX('RD7 O''Hallaron'!$I$2:$I$190,MATCH(Women5108[[#This Row],[Rider]],'RD7 O''Hallaron'!$F$2:$F$201,0)),"")</f>
        <v/>
      </c>
      <c r="BQ24" s="34" t="str">
        <f>_xlfn.IFNA(INDEX('RD8 Fox Creek'!$I$2:$I$204,MATCH(Women5108[[#This Row],[Rider]],'RD8 Fox Creek'!$F$2:$F$204,0)),"")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0</v>
      </c>
      <c r="BU24" s="34">
        <f>4-COUNTBLANK(Women5108[[#This Row],[RD4 XCO Ohal]:[RD7 XCO O''Halloran]])</f>
        <v>1</v>
      </c>
      <c r="BV24" s="34">
        <f>2-COUNTBLANK(Women5108[[#This Row],[RD8 XCO Fox Creek]:[RD9 XCO Willowie]])</f>
        <v>0</v>
      </c>
      <c r="BW24" s="34" cm="1">
        <f t="array" ref="BW24">IF(Women5108[[#This Row],[Number of Rounds]]&lt;=6,SUM(IF(ISNA(BJ24:BR24),0,BJ24:BR24)),SUM(LARGE(BJ24:BR24,{1,2,3,4,5,6})))</f>
        <v>210</v>
      </c>
      <c r="BX24" s="34" cm="1">
        <f t="array" ref="BX24">IF(Women5108[[#This Row],[Number of Rounds XCM]]&lt;=3,SUM(IF(ISNA(BM24:BO24),0,BM24:BO24)),SUM(LARGE(BM24:BO24,{1,2,3})))</f>
        <v>210</v>
      </c>
      <c r="BY24" s="34">
        <f>SUM(Women5108[[#This Row],[RD8 XCO Fox Creek]:[RD9 XCO Willowie]])</f>
        <v>0</v>
      </c>
      <c r="BZ24" s="23">
        <f>Women5108[[#This Row],[Best 6 of 8 Overall]]+Women5108[[#This Row],[Best 3 of 4 XCM]]+Women5108[[#This Row],[Total of 2 XCO]]</f>
        <v>420</v>
      </c>
      <c r="CA24" s="37" cm="1">
        <f t="array" ref="CA24">6-SUM(IF(BW24&gt;$BW$18:$BW$28,1/COUNTIF($BW$18:$BW$28,$BW$18:$BW$28)))</f>
        <v>5</v>
      </c>
    </row>
    <row r="25" spans="1:79" ht="16" x14ac:dyDescent="0.2">
      <c r="A25" s="103" t="s">
        <v>158</v>
      </c>
      <c r="B25" s="38">
        <f>_xlfn.IFNA(INDEX('RD1 Eagle'!$I$2:$I$154,MATCH(Men_5[[#This Row],[Rider]],'RD1 Eagle'!$F$2:$F$154,0)),"")</f>
        <v>390</v>
      </c>
      <c r="C25" s="38" t="str">
        <f>_xlfn.IFNA(INDEX('RD2 Shepherds'!$I$2:$I$143,MATCH(Men_5[[#This Row],[Rider]],'RD2 Shepherds'!$F$2:$F$143,0)),"")</f>
        <v/>
      </c>
      <c r="D25" s="38" t="str">
        <f>_xlfn.IFNA(INDEX('RD3 XCO Sheps'!$I$2:$I$190,MATCH(Men_5[[#This Row],[Rider]],'RD3 XCO Sheps'!$F$2:$F$190,0)),"")</f>
        <v/>
      </c>
      <c r="E25" s="38">
        <f>_xlfn.IFNA(INDEX('RD4 Ohalloran'!$I$2:$I$180,MATCH(Men_5[[#This Row],[Rider]],'RD4 Ohalloran'!$F$2:$F$180,0)),"")</f>
        <v>250</v>
      </c>
      <c r="F25" s="38">
        <f>_xlfn.IFNA(INDEX('RD5 Craigburn'!$I$2:$I$164,MATCH(Men_5[[#This Row],[Rider]],'RD5 Craigburn'!$F$2:$F$164,0)),"")</f>
        <v>250</v>
      </c>
      <c r="G25" s="38" t="str">
        <f>_xlfn.IFNA(INDEX('RD6 Kinchina'!$I$2:$I$200,MATCH(Men_5[[#This Row],[Rider]],'RD6 Kinchina'!$F$2:$F$200,0)),"")</f>
        <v/>
      </c>
      <c r="H25" s="38" t="str">
        <f>_xlfn.IFNA(INDEX('RD7 O''Hallaron'!$I$2:$I$190,MATCH(Men_5[[#This Row],[Rider]],'RD7 O''Hallaron'!$F$2:$F$201,0)),"")</f>
        <v/>
      </c>
      <c r="I25" s="38" t="str">
        <f>_xlfn.IFNA(INDEX('RD8 Fox Creek'!$I$2:$I$204,MATCH(Men_5[[#This Row],[Rider]],'RD8 Fox Creek'!$F$2:$F$204,0)),"")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3</v>
      </c>
      <c r="L25" s="59">
        <f>3-COUNTBLANK(Men_5[[#This Row],[RD1 XCC Eagle]:[RD3 XCO Sheps]])</f>
        <v>1</v>
      </c>
      <c r="M25" s="59">
        <f>4-COUNTBLANK(Men_5[[#This Row],[RD4 XCO Ohal]:[RD7 XCO O''Halloran]])</f>
        <v>2</v>
      </c>
      <c r="N25" s="59">
        <f>2-COUNTBLANK(Men_5[[#This Row],[RD8 XCO Fox Creek]:[RD9 XCO Willowie]])</f>
        <v>0</v>
      </c>
      <c r="O25" s="59" cm="1">
        <f t="array" ref="O25">IF(Men_5[[#This Row],[Number of Rounds]]&lt;=6,SUM(IF(ISNA(B25:J25),0,B25:J25)),SUM(LARGE(B25:J25,{1,2,3,4,5,6})))</f>
        <v>890</v>
      </c>
      <c r="P25" s="59" cm="1">
        <f t="array" ref="P25">IF(Men_5[[#This Row],[Number of Rounds XCM]]&lt;=3,SUM(IF(ISNA(E25:H25),0,E25:H25)),SUM(LARGE(E25:H25,{1,2,3})))</f>
        <v>500</v>
      </c>
      <c r="Q25" s="59">
        <f>SUM(Men_5[[#This Row],[RD8 XCO Fox Creek]:[RD9 XCO Willowie]])</f>
        <v>0</v>
      </c>
      <c r="R25" s="59">
        <f>Men_5[[#This Row],[Best 6 of 8 Overall]]+Men_5[[#This Row],[Best 3 of 4 XCM]]+Men_5[[#This Row],[Total of 2 XCO]]</f>
        <v>1390</v>
      </c>
      <c r="S25" s="134" cm="1">
        <f t="array" ref="S25">68-SUM(IF(O25&gt;$O$18:$O$212,1/COUNTIF($O$18:$O$212,$O$18:$O$212)))</f>
        <v>7.9999999999998224</v>
      </c>
      <c r="T25" s="18"/>
      <c r="U25" s="103" t="s">
        <v>212</v>
      </c>
      <c r="V25" s="69">
        <f>_xlfn.IFNA(INDEX('RD1 Eagle'!$I$2:$I$154,MATCH(Women6[[#This Row],[Rider]],'RD1 Eagle'!$F$2:$F$154,0)),"")</f>
        <v>294</v>
      </c>
      <c r="W25" s="34">
        <f>_xlfn.IFNA(INDEX('RD2 Shepherds'!$I$2:$I$143,MATCH(Women6[[#This Row],[Rider]],'RD2 Shepherds'!$F$2:$F$143,0)),"")</f>
        <v>266</v>
      </c>
      <c r="X25" s="34" t="str">
        <f>_xlfn.IFNA(INDEX('RD3 XCO Sheps'!$I$2:$I$190,MATCH(Women6[[#This Row],[Rider]],'RD3 XCO Sheps'!$F$2:$F$190,0)),"")</f>
        <v/>
      </c>
      <c r="Y25" s="34" t="str">
        <f>_xlfn.IFNA(INDEX('RD4 Ohalloran'!$I$2:$I$184,MATCH(Women6[[#This Row],[Rider]],'RD4 Ohalloran'!$F$2:$F$184,0)),"")</f>
        <v/>
      </c>
      <c r="Z25" s="34">
        <f>_xlfn.IFNA(INDEX('RD5 Craigburn'!$I$2:$I$164,MATCH(Women6[[#This Row],[Rider]],'RD5 Craigburn'!$F$2:$F$164,0)),"")</f>
        <v>225</v>
      </c>
      <c r="AA25" s="34" t="str">
        <f>_xlfn.IFNA(INDEX('RD6 Kinchina'!$I$2:$I$199,MATCH(Women6[[#This Row],[Rider]],'RD6 Kinchina'!$F$2:$F$199,0)),"")</f>
        <v/>
      </c>
      <c r="AB25" s="34" t="str">
        <f>_xlfn.IFNA(INDEX('RD7 O''Hallaron'!$I$2:$I$190,MATCH(Women6[[#This Row],[Rider]],'RD7 O''Hallaron'!$F$2:$F$201,0)),"")</f>
        <v/>
      </c>
      <c r="AC25" s="34" t="str">
        <f>_xlfn.IFNA(INDEX('RD8 Fox Creek'!$I$2:$I$204,MATCH(Women6[[#This Row],[Rider]],'RD8 Fox Creek'!$F$2:$F$204,0)),"")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3</v>
      </c>
      <c r="AF25" s="57">
        <f>3-COUNTBLANK(Women6[[#This Row],[RD1 XCC Eagle]:[RD3 XCO Sheps]])</f>
        <v>2</v>
      </c>
      <c r="AG25" s="57">
        <f>4-COUNTBLANK(Women6[[#This Row],[RD4 XCO Ohal]:[RD7 XCO O''Halloran]])</f>
        <v>1</v>
      </c>
      <c r="AH25" s="57">
        <f>2-COUNTBLANK(Women6[[#This Row],[RD8 XCO Fox Creek]:[RD9 XCO Willowie]])</f>
        <v>0</v>
      </c>
      <c r="AI25" s="57" cm="1">
        <f t="array" ref="AI25">IF(Women6[[#This Row],[Number of Rounds]]&lt;=6,SUM(IF(ISNA(V25:AD25),0,V25:AD25)),SUM(LARGE(V25:AD25,{1,2,3,4,5,6})))</f>
        <v>785</v>
      </c>
      <c r="AJ25" s="57" cm="1">
        <f t="array" ref="AJ25">IF(Women6[[#This Row],[Number of XCM Rounds]]&lt;=3,SUM(IF(ISNA(Y25:AB25),0,Y25:AB25)),SUM(LARGE(Y25:AB25,{1,2,3})))</f>
        <v>225</v>
      </c>
      <c r="AK25" s="57">
        <f>SUM(Women6[[#This Row],[RD8 XCO Fox Creek]:[RD9 XCO Willowie]])</f>
        <v>0</v>
      </c>
      <c r="AL25" s="57">
        <f>Women6[[#This Row],[Best 3 of 4 XCM]]+Women6[[#This Row],[Best 6 of 8 Overall]]+Women6[[#This Row],[Total of 2 XCO]]</f>
        <v>1010</v>
      </c>
      <c r="AM25" s="134" cm="1">
        <f t="array" ref="AM25">29-SUM(IF(AI25&gt;$AI$18:$AI$52,1/COUNTIF($AI$18:$AI$52,$AI$18:$AI$52)))</f>
        <v>8.0000000000000036</v>
      </c>
      <c r="AN25" s="18"/>
      <c r="AO25" s="103" t="s">
        <v>256</v>
      </c>
      <c r="AP25" s="69" t="str">
        <f>_xlfn.IFNA(INDEX('RD1 Eagle'!$I$2:$I$154,MATCH(Junior7[[#This Row],[Rider]],'RD1 Eagle'!$F$2:$F$154,0)),"")</f>
        <v/>
      </c>
      <c r="AQ25" s="69">
        <f>_xlfn.IFNA(INDEX('RD2 Shepherds'!$I$2:$I$143,MATCH(Junior7[[#This Row],[Rider]],'RD2 Shepherds'!$F$2:$F$143,0)),"")</f>
        <v>500</v>
      </c>
      <c r="AR25" s="34" t="str">
        <f>_xlfn.IFNA(INDEX('RD3 XCO Sheps'!$I$2:$I$190,MATCH(Junior7[[#This Row],[Rider]],'RD3 XCO Sheps'!$F$2:$F$190,0)),"")</f>
        <v/>
      </c>
      <c r="AS25" s="34" t="str">
        <f>_xlfn.IFNA(INDEX('RD4 Ohalloran'!$I$2:$I$184,MATCH(Junior7[[#This Row],[Rider]],'RD4 Ohalloran'!$F$2:$F$184,0)),"")</f>
        <v/>
      </c>
      <c r="AT25" s="34">
        <f>_xlfn.IFNA(INDEX('RD5 Craigburn'!$I$2:$I$168,MATCH(Junior7[[#This Row],[Rider]],'RD5 Craigburn'!$F$2:$F$168,0)),"")</f>
        <v>420</v>
      </c>
      <c r="AU25" s="57" t="str">
        <f>_xlfn.IFNA(INDEX('RD6 Kinchina'!$I$2:$I$199,MATCH(Junior7[[#This Row],[Rider]],'RD6 Kinchina'!$F$2:$F$199,0)),"")</f>
        <v/>
      </c>
      <c r="AV25" s="57" t="str">
        <f>_xlfn.IFNA(INDEX('RD7 O''Hallaron'!$I$2:$I$190,MATCH(Junior7[[#This Row],[Rider]],'RD7 O''Hallaron'!$F$2:$F$201,0)),"")</f>
        <v/>
      </c>
      <c r="AW25" s="57" t="str">
        <f>_xlfn.IFNA(INDEX('RD8 Fox Creek'!$I$2:$I$204,MATCH(Junior7[[#This Row],[Rider]],'RD8 Fox Creek'!$F$2:$F$204,0)),"")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2</v>
      </c>
      <c r="AZ25" s="86">
        <f>3-COUNTBLANK(Junior7[[#This Row],[RD1 XCC Eagle]:[RD3 XCO Sheps]])</f>
        <v>1</v>
      </c>
      <c r="BA25" s="86">
        <f>4-COUNTBLANK(Junior7[[#This Row],[RD4 XCO Ohal]:[RD7 XCO O''Halloran]])</f>
        <v>1</v>
      </c>
      <c r="BB25" s="86">
        <f>2-COUNTBLANK(Junior7[[#This Row],[RD8 XCO Fox Creek]:[RD9 XCO Willowie]])</f>
        <v>0</v>
      </c>
      <c r="BC25" s="122" cm="1">
        <f t="array" ref="BC25">IF(Junior7[[#This Row],[Number of Rounds]]&lt;=6,SUM(IF(ISNA(AP25:AX25),0,AP25:AX25)),SUM(LARGE(AP25:AX25,{1,2,3,4,5,6})))</f>
        <v>920</v>
      </c>
      <c r="BD25" s="86" cm="1">
        <f t="array" ref="BD25">IF(Junior7[[#This Row],[Number of XCM Rounds]]&lt;=3,SUM(IF(ISNA(AS25:AV25),0,AS25:AV25)),SUM(LARGE(AS25:AV25,{1,2,3})))</f>
        <v>420</v>
      </c>
      <c r="BE25" s="86">
        <f>SUM(Junior7[[#This Row],[RD8 XCO Fox Creek]:[RD9 XCO Willowie]])</f>
        <v>0</v>
      </c>
      <c r="BF25" s="88">
        <f>Junior7[[#This Row],[Best 3 of 4 XCM]]+Junior7[[#This Row],[Best 6 of 8 Overall]]+Junior7[[#This Row],[Total of 2 XCO]]</f>
        <v>1340</v>
      </c>
      <c r="BG25" s="37" cm="1">
        <f t="array" ref="BG25">23-SUM(IF(BC25&gt;$BC$18:$BC$71,1/COUNTIF($BC$18:$BC$71,$BC$18:$BC$71)))</f>
        <v>7.9999999999999769</v>
      </c>
      <c r="BH25" s="18"/>
      <c r="BI25" s="103"/>
      <c r="BJ25" s="34" t="str">
        <f>_xlfn.IFNA(INDEX('RD1 Eagle'!$I$2:$I$154,MATCH(Women5108[[#This Row],[Rider]],'RD1 Eagle'!$F$2:$F$154,0)),"")</f>
        <v/>
      </c>
      <c r="BK25" s="34" t="str">
        <f>_xlfn.IFNA(INDEX('RD2 Shepherds'!$I$2:$I$143,MATCH(Women5108[[#This Row],[Rider]],'RD2 Shepherds'!$F$2:$F$143,0)),"")</f>
        <v/>
      </c>
      <c r="BL25" s="34" t="str">
        <f>_xlfn.IFNA(INDEX('RD3 XCO Sheps'!$I$2:$I$115,MATCH(Women5108[[#This Row],[Rider]],'RD3 XCO Sheps'!$F$2:$F$115,0)),"")</f>
        <v/>
      </c>
      <c r="BM25" s="34" t="str">
        <f>_xlfn.IFNA(INDEX('RD4 Ohalloran'!$I$2:$I$109,MATCH(Women5108[[#This Row],[Rider]],'RD4 Ohalloran'!$F$2:$F$109,0)),"")</f>
        <v/>
      </c>
      <c r="BN25" s="34" t="str">
        <f>_xlfn.IFNA(INDEX('RD5 Craigburn'!$I$2:$I$164,MATCH(Women5108[[#This Row],[Rider]],'RD5 Craigburn'!$F$2:$F$164,0)),"")</f>
        <v/>
      </c>
      <c r="BO25" s="34" t="str">
        <f>_xlfn.IFNA(INDEX('RD6 Kinchina'!$I$2:$I$199,MATCH(Women5108[[#This Row],[Rider]],'RD6 Kinchina'!$F$2:$F$199,0)),"")</f>
        <v/>
      </c>
      <c r="BP25" s="34" t="str">
        <f>_xlfn.IFNA(INDEX('RD7 O''Hallaron'!$I$2:$I$190,MATCH(Women5108[[#This Row],[Rider]],'RD7 O''Hallaron'!$F$2:$F$201,0)),"")</f>
        <v/>
      </c>
      <c r="BQ25" s="34" t="str">
        <f>_xlfn.IFNA(INDEX('RD8 Fox Creek'!$I$2:$I$204,MATCH(Women5108[[#This Row],[Rider]],'RD8 Fox Creek'!$F$2:$F$204,0)),"")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0</v>
      </c>
      <c r="BT25" s="34">
        <f>3-COUNTBLANK(Women5108[[#This Row],[RD1 XCC Eagle]:[RD3 XCO Sheps]])</f>
        <v>0</v>
      </c>
      <c r="BU25" s="34">
        <f>4-COUNTBLANK(Women5108[[#This Row],[RD4 XCO Ohal]:[RD7 XCO O''Halloran]])</f>
        <v>0</v>
      </c>
      <c r="BV25" s="34">
        <f>2-COUNTBLANK(Women5108[[#This Row],[RD8 XCO Fox Creek]:[RD9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34" cm="1">
        <f t="array" ref="BX25">IF(Women5108[[#This Row],[Number of Rounds XCM]]&lt;=3,SUM(IF(ISNA(BM25:BO25),0,BM25:BO25)),SUM(LARGE(BM25:BO25,{1,2,3})))</f>
        <v>0</v>
      </c>
      <c r="BY25" s="34">
        <f>SUM(Women5108[[#This Row],[RD8 XCO Fox Creek]:[RD9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6-SUM(IF(BW25&gt;$BW$18:$BW$28,1/COUNTIF($BW$18:$BW$28,$BW$18:$BW$28)))</f>
        <v>6</v>
      </c>
    </row>
    <row r="26" spans="1:79" ht="16" x14ac:dyDescent="0.2">
      <c r="A26" s="103" t="s">
        <v>267</v>
      </c>
      <c r="B26" s="38" t="str">
        <f>_xlfn.IFNA(INDEX('RD1 Eagle'!$I$2:$I$154,MATCH(Men_5[[#This Row],[Rider]],'RD1 Eagle'!$F$2:$F$154,0)),"")</f>
        <v/>
      </c>
      <c r="C26" s="38" t="str">
        <f>_xlfn.IFNA(INDEX('RD2 Shepherds'!$I$2:$I$143,MATCH(Men_5[[#This Row],[Rider]],'RD2 Shepherds'!$F$2:$F$143,0)),"")</f>
        <v/>
      </c>
      <c r="D26" s="38" t="str">
        <f>_xlfn.IFNA(INDEX('RD3 XCO Sheps'!$I$2:$I$190,MATCH(Men_5[[#This Row],[Rider]],'RD3 XCO Sheps'!$F$2:$F$190,0)),"")</f>
        <v/>
      </c>
      <c r="E26" s="38">
        <f>_xlfn.IFNA(INDEX('RD4 Ohalloran'!$I$2:$I$180,MATCH(Men_5[[#This Row],[Rider]],'RD4 Ohalloran'!$F$2:$F$180,0)),"")</f>
        <v>450</v>
      </c>
      <c r="F26" s="38">
        <f>_xlfn.IFNA(INDEX('RD5 Craigburn'!$I$2:$I$164,MATCH(Men_5[[#This Row],[Rider]],'RD5 Craigburn'!$F$2:$F$164,0)),"")</f>
        <v>420</v>
      </c>
      <c r="G26" s="38" t="str">
        <f>_xlfn.IFNA(INDEX('RD6 Kinchina'!$I$2:$I$200,MATCH(Men_5[[#This Row],[Rider]],'RD6 Kinchina'!$F$2:$F$200,0)),"")</f>
        <v/>
      </c>
      <c r="H26" s="38" t="str">
        <f>_xlfn.IFNA(INDEX('RD7 O''Hallaron'!$I$2:$I$190,MATCH(Men_5[[#This Row],[Rider]],'RD7 O''Hallaron'!$F$2:$F$201,0)),"")</f>
        <v/>
      </c>
      <c r="I26" s="38" t="str">
        <f>_xlfn.IFNA(INDEX('RD8 Fox Creek'!$I$2:$I$204,MATCH(Men_5[[#This Row],[Rider]],'RD8 Fox Creek'!$F$2:$F$204,0)),"")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2</v>
      </c>
      <c r="L26" s="59">
        <f>3-COUNTBLANK(Men_5[[#This Row],[RD1 XCC Eagle]:[RD3 XCO Sheps]])</f>
        <v>0</v>
      </c>
      <c r="M26" s="59">
        <f>4-COUNTBLANK(Men_5[[#This Row],[RD4 XCO Ohal]:[RD7 XCO O''Halloran]])</f>
        <v>2</v>
      </c>
      <c r="N26" s="59">
        <f>2-COUNTBLANK(Men_5[[#This Row],[RD8 XCO Fox Creek]:[RD9 XCO Willowie]])</f>
        <v>0</v>
      </c>
      <c r="O26" s="59" cm="1">
        <f t="array" ref="O26">IF(Men_5[[#This Row],[Number of Rounds]]&lt;=6,SUM(IF(ISNA(B26:J26),0,B26:J26)),SUM(LARGE(B26:J26,{1,2,3,4,5,6})))</f>
        <v>870</v>
      </c>
      <c r="P26" s="59" cm="1">
        <f t="array" ref="P26">IF(Men_5[[#This Row],[Number of Rounds XCM]]&lt;=3,SUM(IF(ISNA(E26:H26),0,E26:H26)),SUM(LARGE(E26:H26,{1,2,3})))</f>
        <v>870</v>
      </c>
      <c r="Q26" s="59">
        <f>SUM(Men_5[[#This Row],[RD8 XCO Fox Creek]:[RD9 XCO Willowie]])</f>
        <v>0</v>
      </c>
      <c r="R26" s="59">
        <f>Men_5[[#This Row],[Best 6 of 8 Overall]]+Men_5[[#This Row],[Best 3 of 4 XCM]]+Men_5[[#This Row],[Total of 2 XCO]]</f>
        <v>1740</v>
      </c>
      <c r="S26" s="134" cm="1">
        <f t="array" ref="S26">68-SUM(IF(O26&gt;$O$18:$O$212,1/COUNTIF($O$18:$O$212,$O$18:$O$212)))</f>
        <v>8.9999999999998224</v>
      </c>
      <c r="T26" s="18"/>
      <c r="U26" s="103" t="s">
        <v>171</v>
      </c>
      <c r="V26" s="77">
        <f>_xlfn.IFNA(INDEX('RD1 Eagle'!$I$2:$I$154,MATCH(Women6[[#This Row],[Rider]],'RD1 Eagle'!$F$2:$F$154,0)),"")</f>
        <v>337.5</v>
      </c>
      <c r="W26" s="38">
        <f>_xlfn.IFNA(INDEX('RD2 Shepherds'!$I$2:$I$143,MATCH(Women6[[#This Row],[Rider]],'RD2 Shepherds'!$F$2:$F$143,0)),"")</f>
        <v>375</v>
      </c>
      <c r="X26" s="34" t="str">
        <f>_xlfn.IFNA(INDEX('RD3 XCO Sheps'!$I$2:$I$190,MATCH(Women6[[#This Row],[Rider]],'RD3 XCO Sheps'!$F$2:$F$190,0)),"")</f>
        <v/>
      </c>
      <c r="Y26" s="34" t="str">
        <f>_xlfn.IFNA(INDEX('RD4 Ohalloran'!$I$2:$I$184,MATCH(Women6[[#This Row],[Rider]],'RD4 Ohalloran'!$F$2:$F$184,0)),"")</f>
        <v/>
      </c>
      <c r="Z26" s="34" t="str">
        <f>_xlfn.IFNA(INDEX('RD5 Craigburn'!$I$2:$I$164,MATCH(Women6[[#This Row],[Rider]],'RD5 Craigburn'!$F$2:$F$164,0)),"")</f>
        <v/>
      </c>
      <c r="AA26" s="34" t="str">
        <f>_xlfn.IFNA(INDEX('RD6 Kinchina'!$I$2:$I$199,MATCH(Women6[[#This Row],[Rider]],'RD6 Kinchina'!$F$2:$F$199,0)),"")</f>
        <v/>
      </c>
      <c r="AB26" s="34" t="str">
        <f>_xlfn.IFNA(INDEX('RD7 O''Hallaron'!$I$2:$I$190,MATCH(Women6[[#This Row],[Rider]],'RD7 O''Hallaron'!$F$2:$F$201,0)),"")</f>
        <v/>
      </c>
      <c r="AC26" s="34" t="str">
        <f>_xlfn.IFNA(INDEX('RD8 Fox Creek'!$I$2:$I$204,MATCH(Women6[[#This Row],[Rider]],'RD8 Fox Creek'!$F$2:$F$204,0)),"")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2</v>
      </c>
      <c r="AF26" s="57">
        <f>3-COUNTBLANK(Women6[[#This Row],[RD1 XCC Eagle]:[RD3 XCO Sheps]])</f>
        <v>2</v>
      </c>
      <c r="AG26" s="57">
        <f>4-COUNTBLANK(Women6[[#This Row],[RD4 XCO Ohal]:[RD7 XCO O''Halloran]])</f>
        <v>0</v>
      </c>
      <c r="AH26" s="57">
        <f>2-COUNTBLANK(Women6[[#This Row],[RD8 XCO Fox Creek]:[RD9 XCO Willowie]])</f>
        <v>0</v>
      </c>
      <c r="AI26" s="57" cm="1">
        <f t="array" ref="AI26">IF(Women6[[#This Row],[Number of Rounds]]&lt;=6,SUM(IF(ISNA(V26:AD26),0,V26:AD26)),SUM(LARGE(V26:AD26,{1,2,3,4,5,6})))</f>
        <v>712.5</v>
      </c>
      <c r="AJ26" s="57" cm="1">
        <f t="array" ref="AJ26">IF(Women6[[#This Row],[Number of XCM Rounds]]&lt;=3,SUM(IF(ISNA(Y26:AB26),0,Y26:AB26)),SUM(LARGE(Y26:AB26,{1,2,3})))</f>
        <v>0</v>
      </c>
      <c r="AK26" s="57">
        <f>SUM(Women6[[#This Row],[RD8 XCO Fox Creek]:[RD9 XCO Willowie]])</f>
        <v>0</v>
      </c>
      <c r="AL26" s="57">
        <f>Women6[[#This Row],[Best 3 of 4 XCM]]+Women6[[#This Row],[Best 6 of 8 Overall]]+Women6[[#This Row],[Total of 2 XCO]]</f>
        <v>712.5</v>
      </c>
      <c r="AM26" s="134" cm="1">
        <f t="array" ref="AM26">29-SUM(IF(AI26&gt;$AI$18:$AI$52,1/COUNTIF($AI$18:$AI$52,$AI$18:$AI$52)))</f>
        <v>9.0000000000000036</v>
      </c>
      <c r="AN26" s="18"/>
      <c r="AO26" s="103" t="s">
        <v>179</v>
      </c>
      <c r="AP26" s="69">
        <f>_xlfn.IFNA(INDEX('RD1 Eagle'!$I$2:$I$154,MATCH(Junior7[[#This Row],[Rider]],'RD1 Eagle'!$F$2:$F$154,0)),"")</f>
        <v>450</v>
      </c>
      <c r="AQ26" s="69" t="str">
        <f>_xlfn.IFNA(INDEX('RD2 Shepherds'!$I$2:$I$143,MATCH(Junior7[[#This Row],[Rider]],'RD2 Shepherds'!$F$2:$F$143,0)),"")</f>
        <v/>
      </c>
      <c r="AR26" s="34" t="str">
        <f>_xlfn.IFNA(INDEX('RD3 XCO Sheps'!$I$2:$I$190,MATCH(Junior7[[#This Row],[Rider]],'RD3 XCO Sheps'!$F$2:$F$190,0)),"")</f>
        <v/>
      </c>
      <c r="AS26" s="34">
        <f>_xlfn.IFNA(INDEX('RD4 Ohalloran'!$I$2:$I$184,MATCH(Junior7[[#This Row],[Rider]],'RD4 Ohalloran'!$F$2:$F$184,0)),"")</f>
        <v>450</v>
      </c>
      <c r="AT26" s="34" t="str">
        <f>_xlfn.IFNA(INDEX('RD5 Craigburn'!$I$2:$I$168,MATCH(Junior7[[#This Row],[Rider]],'RD5 Craigburn'!$F$2:$F$168,0)),"")</f>
        <v/>
      </c>
      <c r="AU26" s="57" t="str">
        <f>_xlfn.IFNA(INDEX('RD6 Kinchina'!$I$2:$I$199,MATCH(Junior7[[#This Row],[Rider]],'RD6 Kinchina'!$F$2:$F$199,0)),"")</f>
        <v/>
      </c>
      <c r="AV26" s="57" t="str">
        <f>_xlfn.IFNA(INDEX('RD7 O''Hallaron'!$I$2:$I$190,MATCH(Junior7[[#This Row],[Rider]],'RD7 O''Hallaron'!$F$2:$F$201,0)),"")</f>
        <v/>
      </c>
      <c r="AW26" s="57" t="str">
        <f>_xlfn.IFNA(INDEX('RD8 Fox Creek'!$I$2:$I$204,MATCH(Junior7[[#This Row],[Rider]],'RD8 Fox Creek'!$F$2:$F$204,0)),"")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2</v>
      </c>
      <c r="AZ26" s="24">
        <f>3-COUNTBLANK(Junior7[[#This Row],[RD1 XCC Eagle]:[RD3 XCO Sheps]])</f>
        <v>1</v>
      </c>
      <c r="BA26" s="24">
        <f>4-COUNTBLANK(Junior7[[#This Row],[RD4 XCO Ohal]:[RD7 XCO O''Halloran]])</f>
        <v>1</v>
      </c>
      <c r="BB26" s="24">
        <f>2-COUNTBLANK(Junior7[[#This Row],[RD8 XCO Fox Creek]:[RD9 XCO Willowie]])</f>
        <v>0</v>
      </c>
      <c r="BC26" s="34" cm="1">
        <f t="array" ref="BC26">IF(Junior7[[#This Row],[Number of Rounds]]&lt;=6,SUM(IF(ISNA(AP26:AX26),0,AP26:AX26)),SUM(LARGE(AP26:AX26,{1,2,3,4,5,6})))</f>
        <v>900</v>
      </c>
      <c r="BD26" s="24" cm="1">
        <f t="array" ref="BD26">IF(Junior7[[#This Row],[Number of XCM Rounds]]&lt;=3,SUM(IF(ISNA(AS26:AV26),0,AS26:AV26)),SUM(LARGE(AS26:AV26,{1,2,3})))</f>
        <v>450</v>
      </c>
      <c r="BE26" s="24">
        <f>SUM(Junior7[[#This Row],[RD8 XCO Fox Creek]:[RD9 XCO Willowie]])</f>
        <v>0</v>
      </c>
      <c r="BF26" s="23">
        <f>Junior7[[#This Row],[Best 3 of 4 XCM]]+Junior7[[#This Row],[Best 6 of 8 Overall]]+Junior7[[#This Row],[Total of 2 XCO]]</f>
        <v>1350</v>
      </c>
      <c r="BG26" s="37" cm="1">
        <f t="array" ref="BG26">23-SUM(IF(BC26&gt;$BC$18:$BC$71,1/COUNTIF($BC$18:$BC$71,$BC$18:$BC$71)))</f>
        <v>8.9999999999999769</v>
      </c>
      <c r="BH26" s="18"/>
      <c r="BI26" s="103"/>
      <c r="BJ26" s="34" t="str">
        <f>_xlfn.IFNA(INDEX('RD1 Eagle'!$I$2:$I$154,MATCH(Women5108[[#This Row],[Rider]],'RD1 Eagle'!$F$2:$F$154,0)),"")</f>
        <v/>
      </c>
      <c r="BK26" s="34" t="str">
        <f>_xlfn.IFNA(INDEX('RD2 Shepherds'!$I$2:$I$143,MATCH(Women5108[[#This Row],[Rider]],'RD2 Shepherds'!$F$2:$F$143,0)),"")</f>
        <v/>
      </c>
      <c r="BL26" s="34" t="str">
        <f>_xlfn.IFNA(INDEX('RD3 XCO Sheps'!$I$2:$I$115,MATCH(Women5108[[#This Row],[Rider]],'RD3 XCO Sheps'!$F$2:$F$115,0)),"")</f>
        <v/>
      </c>
      <c r="BM26" s="34" t="str">
        <f>_xlfn.IFNA(INDEX('RD4 Ohalloran'!$I$2:$I$109,MATCH(Women5108[[#This Row],[Rider]],'RD4 Ohalloran'!$F$2:$F$109,0)),"")</f>
        <v/>
      </c>
      <c r="BN26" s="34" t="str">
        <f>_xlfn.IFNA(INDEX('RD5 Craigburn'!$I$2:$I$164,MATCH(Women5108[[#This Row],[Rider]],'RD5 Craigburn'!$F$2:$F$164,0)),"")</f>
        <v/>
      </c>
      <c r="BO26" s="34" t="str">
        <f>_xlfn.IFNA(INDEX('RD6 Kinchina'!$I$2:$I$199,MATCH(Women5108[[#This Row],[Rider]],'RD6 Kinchina'!$F$2:$F$199,0)),"")</f>
        <v/>
      </c>
      <c r="BP26" s="34" t="str">
        <f>_xlfn.IFNA(INDEX('RD7 O''Hallaron'!$I$2:$I$190,MATCH(Women5108[[#This Row],[Rider]],'RD7 O''Hallaron'!$F$2:$F$201,0)),"")</f>
        <v/>
      </c>
      <c r="BQ26" s="34" t="str">
        <f>_xlfn.IFNA(INDEX('RD8 Fox Creek'!$I$2:$I$204,MATCH(Women5108[[#This Row],[Rider]],'RD8 Fox Creek'!$F$2:$F$204,0)),"")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O''Halloran]])</f>
        <v>0</v>
      </c>
      <c r="BV26" s="34">
        <f>2-COUNTBLANK(Women5108[[#This Row],[RD8 XCO Fox Creek]:[RD9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1">
        <f>SUM(Women5108[[#This Row],[RD8 XCO Fox Creek]:[RD9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6-SUM(IF(BW26&gt;$BW$18:$BW$28,1/COUNTIF($BW$18:$BW$28,$BW$18:$BW$28)))</f>
        <v>6</v>
      </c>
    </row>
    <row r="27" spans="1:79" ht="16" x14ac:dyDescent="0.2">
      <c r="A27" s="103" t="s">
        <v>241</v>
      </c>
      <c r="B27" s="38" t="str">
        <f>_xlfn.IFNA(INDEX('RD1 Eagle'!$I$2:$I$154,MATCH(Men_5[[#This Row],[Rider]],'RD1 Eagle'!$F$2:$F$154,0)),"")</f>
        <v/>
      </c>
      <c r="C27" s="38">
        <f>_xlfn.IFNA(INDEX('RD2 Shepherds'!$I$2:$I$143,MATCH(Men_5[[#This Row],[Rider]],'RD2 Shepherds'!$F$2:$F$143,0)),"")</f>
        <v>300</v>
      </c>
      <c r="D27" s="38" t="str">
        <f>_xlfn.IFNA(INDEX('RD3 XCO Sheps'!$I$2:$I$190,MATCH(Men_5[[#This Row],[Rider]],'RD3 XCO Sheps'!$F$2:$F$190,0)),"")</f>
        <v/>
      </c>
      <c r="E27" s="38">
        <f>_xlfn.IFNA(INDEX('RD4 Ohalloran'!$I$2:$I$180,MATCH(Men_5[[#This Row],[Rider]],'RD4 Ohalloran'!$F$2:$F$180,0)),"")</f>
        <v>300</v>
      </c>
      <c r="F27" s="38">
        <f>_xlfn.IFNA(INDEX('RD5 Craigburn'!$I$2:$I$164,MATCH(Men_5[[#This Row],[Rider]],'RD5 Craigburn'!$F$2:$F$164,0)),"")</f>
        <v>270</v>
      </c>
      <c r="G27" s="38" t="str">
        <f>_xlfn.IFNA(INDEX('RD6 Kinchina'!$I$2:$I$200,MATCH(Men_5[[#This Row],[Rider]],'RD6 Kinchina'!$F$2:$F$200,0)),"")</f>
        <v/>
      </c>
      <c r="H27" s="38" t="str">
        <f>_xlfn.IFNA(INDEX('RD7 O''Hallaron'!$I$2:$I$190,MATCH(Men_5[[#This Row],[Rider]],'RD7 O''Hallaron'!$F$2:$F$201,0)),"")</f>
        <v/>
      </c>
      <c r="I27" s="38" t="str">
        <f>_xlfn.IFNA(INDEX('RD8 Fox Creek'!$I$2:$I$204,MATCH(Men_5[[#This Row],[Rider]],'RD8 Fox Creek'!$F$2:$F$204,0)),"")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3</v>
      </c>
      <c r="L27" s="59">
        <f>3-COUNTBLANK(Men_5[[#This Row],[RD1 XCC Eagle]:[RD3 XCO Sheps]])</f>
        <v>1</v>
      </c>
      <c r="M27" s="59">
        <f>4-COUNTBLANK(Men_5[[#This Row],[RD4 XCO Ohal]:[RD7 XCO O''Halloran]])</f>
        <v>2</v>
      </c>
      <c r="N27" s="59">
        <f>2-COUNTBLANK(Men_5[[#This Row],[RD8 XCO Fox Creek]:[RD9 XCO Willowie]])</f>
        <v>0</v>
      </c>
      <c r="O27" s="59" cm="1">
        <f t="array" ref="O27">IF(Men_5[[#This Row],[Number of Rounds]]&lt;=6,SUM(IF(ISNA(B27:J27),0,B27:J27)),SUM(LARGE(B27:J27,{1,2,3,4,5,6})))</f>
        <v>870</v>
      </c>
      <c r="P27" s="59" cm="1">
        <f t="array" ref="P27">IF(Men_5[[#This Row],[Number of Rounds XCM]]&lt;=3,SUM(IF(ISNA(E27:H27),0,E27:H27)),SUM(LARGE(E27:H27,{1,2,3})))</f>
        <v>570</v>
      </c>
      <c r="Q27" s="59">
        <f>SUM(Men_5[[#This Row],[RD8 XCO Fox Creek]:[RD9 XCO Willowie]])</f>
        <v>0</v>
      </c>
      <c r="R27" s="59">
        <f>Men_5[[#This Row],[Best 6 of 8 Overall]]+Men_5[[#This Row],[Best 3 of 4 XCM]]+Men_5[[#This Row],[Total of 2 XCO]]</f>
        <v>1440</v>
      </c>
      <c r="S27" s="134" cm="1">
        <f t="array" ref="S27">68-SUM(IF(O27&gt;$O$18:$O$212,1/COUNTIF($O$18:$O$212,$O$18:$O$212)))</f>
        <v>8.9999999999998224</v>
      </c>
      <c r="T27" s="18"/>
      <c r="U27" s="103" t="s">
        <v>245</v>
      </c>
      <c r="V27" s="77" t="str">
        <f>_xlfn.IFNA(INDEX('RD1 Eagle'!$I$2:$I$154,MATCH(Women6[[#This Row],[Rider]],'RD1 Eagle'!$F$2:$F$154,0)),"")</f>
        <v/>
      </c>
      <c r="W27" s="38">
        <f>_xlfn.IFNA(INDEX('RD2 Shepherds'!$I$2:$I$143,MATCH(Women6[[#This Row],[Rider]],'RD2 Shepherds'!$F$2:$F$143,0)),"")</f>
        <v>315</v>
      </c>
      <c r="X27" s="34" t="str">
        <f>_xlfn.IFNA(INDEX('RD3 XCO Sheps'!$I$2:$I$190,MATCH(Women6[[#This Row],[Rider]],'RD3 XCO Sheps'!$F$2:$F$190,0)),"")</f>
        <v/>
      </c>
      <c r="Y27" s="34">
        <f>_xlfn.IFNA(INDEX('RD4 Ohalloran'!$I$2:$I$184,MATCH(Women6[[#This Row],[Rider]],'RD4 Ohalloran'!$F$2:$F$184,0)),"")</f>
        <v>375</v>
      </c>
      <c r="Z27" s="34" t="str">
        <f>_xlfn.IFNA(INDEX('RD5 Craigburn'!$I$2:$I$164,MATCH(Women6[[#This Row],[Rider]],'RD5 Craigburn'!$F$2:$F$164,0)),"")</f>
        <v/>
      </c>
      <c r="AA27" s="34" t="str">
        <f>_xlfn.IFNA(INDEX('RD6 Kinchina'!$I$2:$I$199,MATCH(Women6[[#This Row],[Rider]],'RD6 Kinchina'!$F$2:$F$199,0)),"")</f>
        <v/>
      </c>
      <c r="AB27" s="34" t="str">
        <f>_xlfn.IFNA(INDEX('RD7 O''Hallaron'!$I$2:$I$190,MATCH(Women6[[#This Row],[Rider]],'RD7 O''Hallaron'!$F$2:$F$201,0)),"")</f>
        <v/>
      </c>
      <c r="AC27" s="34" t="str">
        <f>_xlfn.IFNA(INDEX('RD8 Fox Creek'!$I$2:$I$204,MATCH(Women6[[#This Row],[Rider]],'RD8 Fox Creek'!$F$2:$F$204,0)),"")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2</v>
      </c>
      <c r="AF27" s="57">
        <f>3-COUNTBLANK(Women6[[#This Row],[RD1 XCC Eagle]:[RD3 XCO Sheps]])</f>
        <v>1</v>
      </c>
      <c r="AG27" s="57">
        <f>4-COUNTBLANK(Women6[[#This Row],[RD4 XCO Ohal]:[RD7 XCO O''Halloran]])</f>
        <v>1</v>
      </c>
      <c r="AH27" s="57">
        <f>2-COUNTBLANK(Women6[[#This Row],[RD8 XCO Fox Creek]:[RD9 XCO Willowie]])</f>
        <v>0</v>
      </c>
      <c r="AI27" s="57" cm="1">
        <f t="array" ref="AI27">IF(Women6[[#This Row],[Number of Rounds]]&lt;=6,SUM(IF(ISNA(V27:AD27),0,V27:AD27)),SUM(LARGE(V27:AD27,{1,2,3,4,5,6})))</f>
        <v>690</v>
      </c>
      <c r="AJ27" s="57" cm="1">
        <f t="array" ref="AJ27">IF(Women6[[#This Row],[Number of XCM Rounds]]&lt;=3,SUM(IF(ISNA(Y27:AB27),0,Y27:AB27)),SUM(LARGE(Y27:AB27,{1,2,3})))</f>
        <v>375</v>
      </c>
      <c r="AK27" s="57">
        <f>SUM(Women6[[#This Row],[RD8 XCO Fox Creek]:[RD9 XCO Willowie]])</f>
        <v>0</v>
      </c>
      <c r="AL27" s="57">
        <f>Women6[[#This Row],[Best 3 of 4 XCM]]+Women6[[#This Row],[Best 6 of 8 Overall]]+Women6[[#This Row],[Total of 2 XCO]]</f>
        <v>1065</v>
      </c>
      <c r="AM27" s="134" cm="1">
        <f t="array" ref="AM27">29-SUM(IF(AI27&gt;$AI$18:$AI$52,1/COUNTIF($AI$18:$AI$52,$AI$18:$AI$52)))</f>
        <v>10.000000000000004</v>
      </c>
      <c r="AN27" s="18"/>
      <c r="AO27" s="103" t="s">
        <v>264</v>
      </c>
      <c r="AP27" s="69" t="str">
        <f>_xlfn.IFNA(INDEX('RD1 Eagle'!$I$2:$I$154,MATCH(Junior7[[#This Row],[Rider]],'RD1 Eagle'!$F$2:$F$154,0)),"")</f>
        <v/>
      </c>
      <c r="AQ27" s="69">
        <f>_xlfn.IFNA(INDEX('RD2 Shepherds'!$I$2:$I$143,MATCH(Junior7[[#This Row],[Rider]],'RD2 Shepherds'!$F$2:$F$143,0)),"")</f>
        <v>420</v>
      </c>
      <c r="AR27" s="34" t="str">
        <f>_xlfn.IFNA(INDEX('RD3 XCO Sheps'!$I$2:$I$190,MATCH(Junior7[[#This Row],[Rider]],'RD3 XCO Sheps'!$F$2:$F$190,0)),"")</f>
        <v/>
      </c>
      <c r="AS27" s="34">
        <f>_xlfn.IFNA(INDEX('RD4 Ohalloran'!$I$2:$I$184,MATCH(Junior7[[#This Row],[Rider]],'RD4 Ohalloran'!$F$2:$F$184,0)),"")</f>
        <v>225</v>
      </c>
      <c r="AT27" s="34">
        <f>_xlfn.IFNA(INDEX('RD5 Craigburn'!$I$2:$I$168,MATCH(Junior7[[#This Row],[Rider]],'RD5 Craigburn'!$F$2:$F$168,0)),"")</f>
        <v>225</v>
      </c>
      <c r="AU27" s="57" t="str">
        <f>_xlfn.IFNA(INDEX('RD6 Kinchina'!$I$2:$I$199,MATCH(Junior7[[#This Row],[Rider]],'RD6 Kinchina'!$F$2:$F$199,0)),"")</f>
        <v/>
      </c>
      <c r="AV27" s="57" t="str">
        <f>_xlfn.IFNA(INDEX('RD7 O''Hallaron'!$I$2:$I$190,MATCH(Junior7[[#This Row],[Rider]],'RD7 O''Hallaron'!$F$2:$F$201,0)),"")</f>
        <v/>
      </c>
      <c r="AW27" s="57" t="str">
        <f>_xlfn.IFNA(INDEX('RD8 Fox Creek'!$I$2:$I$204,MATCH(Junior7[[#This Row],[Rider]],'RD8 Fox Creek'!$F$2:$F$204,0)),"")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XCO Sheps]])</f>
        <v>1</v>
      </c>
      <c r="BA27" s="24">
        <f>4-COUNTBLANK(Junior7[[#This Row],[RD4 XCO Ohal]:[RD7 XCO O''Halloran]])</f>
        <v>2</v>
      </c>
      <c r="BB27" s="24">
        <f>2-COUNTBLANK(Junior7[[#This Row],[RD8 XCO Fox Creek]:[RD9 XCO Willowie]])</f>
        <v>0</v>
      </c>
      <c r="BC27" s="34" cm="1">
        <f t="array" ref="BC27">IF(Junior7[[#This Row],[Number of Rounds]]&lt;=6,SUM(IF(ISNA(AP27:AX27),0,AP27:AX27)),SUM(LARGE(AP27:AX27,{1,2,3,4,5,6})))</f>
        <v>870</v>
      </c>
      <c r="BD27" s="24" cm="1">
        <f t="array" ref="BD27">IF(Junior7[[#This Row],[Number of XCM Rounds]]&lt;=3,SUM(IF(ISNA(AS27:AV27),0,AS27:AV27)),SUM(LARGE(AS27:AV27,{1,2,3})))</f>
        <v>450</v>
      </c>
      <c r="BE27" s="24">
        <f>SUM(Junior7[[#This Row],[RD8 XCO Fox Creek]:[RD9 XCO Willowie]])</f>
        <v>0</v>
      </c>
      <c r="BF27" s="23">
        <f>Junior7[[#This Row],[Best 3 of 4 XCM]]+Junior7[[#This Row],[Best 6 of 8 Overall]]+Junior7[[#This Row],[Total of 2 XCO]]</f>
        <v>1320</v>
      </c>
      <c r="BG27" s="37" cm="1">
        <f t="array" ref="BG27">23-SUM(IF(BC27&gt;$BC$18:$BC$71,1/COUNTIF($BC$18:$BC$71,$BC$18:$BC$71)))</f>
        <v>9.9999999999999769</v>
      </c>
      <c r="BH27" s="18"/>
      <c r="BI27" s="103"/>
      <c r="BJ27" s="34" t="str">
        <f>_xlfn.IFNA(INDEX('RD1 Eagle'!$I$2:$I$154,MATCH(Women5108[[#This Row],[Rider]],'RD1 Eagle'!$F$2:$F$154,0)),"")</f>
        <v/>
      </c>
      <c r="BK27" s="34" t="str">
        <f>_xlfn.IFNA(INDEX('RD2 Shepherds'!$I$2:$I$143,MATCH(Women5108[[#This Row],[Rider]],'RD2 Shepherds'!$F$2:$F$143,0)),"")</f>
        <v/>
      </c>
      <c r="BL27" s="34" t="str">
        <f>_xlfn.IFNA(INDEX('RD3 XCO Sheps'!$I$2:$I$115,MATCH(Women5108[[#This Row],[Rider]],'RD3 XCO Sheps'!$F$2:$F$115,0)),"")</f>
        <v/>
      </c>
      <c r="BM27" s="34" t="str">
        <f>_xlfn.IFNA(INDEX('RD4 Ohalloran'!$I$2:$I$109,MATCH(Women5108[[#This Row],[Rider]],'RD4 Ohalloran'!$F$2:$F$109,0)),"")</f>
        <v/>
      </c>
      <c r="BN27" s="34" t="str">
        <f>_xlfn.IFNA(INDEX('RD5 Craigburn'!$I$2:$I$164,MATCH(Women5108[[#This Row],[Rider]],'RD5 Craigburn'!$F$2:$F$164,0)),"")</f>
        <v/>
      </c>
      <c r="BO27" s="34" t="str">
        <f>_xlfn.IFNA(INDEX('RD6 Kinchina'!$I$2:$I$199,MATCH(Women5108[[#This Row],[Rider]],'RD6 Kinchina'!$F$2:$F$199,0)),"")</f>
        <v/>
      </c>
      <c r="BP27" s="34" t="str">
        <f>_xlfn.IFNA(INDEX('RD7 O''Hallaron'!$I$2:$I$190,MATCH(Women5108[[#This Row],[Rider]],'RD7 O''Hallaron'!$F$2:$F$201,0)),"")</f>
        <v/>
      </c>
      <c r="BQ27" s="34" t="str">
        <f>_xlfn.IFNA(INDEX('RD8 Fox Creek'!$I$2:$I$204,MATCH(Women5108[[#This Row],[Rider]],'RD8 Fox Creek'!$F$2:$F$204,0)),"")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O''Halloran]])</f>
        <v>0</v>
      </c>
      <c r="BV27" s="34">
        <f>2-COUNTBLANK(Women5108[[#This Row],[RD8 XCO Fox Creek]:[RD9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Fox Creek]:[RD9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6-SUM(IF(BW27&gt;$BW$18:$BW$28,1/COUNTIF($BW$18:$BW$28,$BW$18:$BW$28)))</f>
        <v>6</v>
      </c>
    </row>
    <row r="28" spans="1:79" ht="16" x14ac:dyDescent="0.2">
      <c r="A28" s="103" t="s">
        <v>165</v>
      </c>
      <c r="B28" s="38">
        <f>_xlfn.IFNA(INDEX('RD1 Eagle'!$I$2:$I$154,MATCH(Men_5[[#This Row],[Rider]],'RD1 Eagle'!$F$2:$F$154,0)),"")</f>
        <v>259</v>
      </c>
      <c r="C28" s="38">
        <f>_xlfn.IFNA(INDEX('RD2 Shepherds'!$I$2:$I$143,MATCH(Men_5[[#This Row],[Rider]],'RD2 Shepherds'!$F$2:$F$143,0)),"")</f>
        <v>189</v>
      </c>
      <c r="D28" s="38" t="str">
        <f>_xlfn.IFNA(INDEX('RD3 XCO Sheps'!$I$2:$I$190,MATCH(Men_5[[#This Row],[Rider]],'RD3 XCO Sheps'!$F$2:$F$190,0)),"")</f>
        <v/>
      </c>
      <c r="E28" s="38">
        <f>_xlfn.IFNA(INDEX('RD4 Ohalloran'!$I$2:$I$180,MATCH(Men_5[[#This Row],[Rider]],'RD4 Ohalloran'!$F$2:$F$180,0)),"")</f>
        <v>210</v>
      </c>
      <c r="F28" s="38">
        <f>_xlfn.IFNA(INDEX('RD5 Craigburn'!$I$2:$I$164,MATCH(Men_5[[#This Row],[Rider]],'RD5 Craigburn'!$F$2:$F$164,0)),"")</f>
        <v>210</v>
      </c>
      <c r="G28" s="38" t="str">
        <f>_xlfn.IFNA(INDEX('RD6 Kinchina'!$I$2:$I$200,MATCH(Men_5[[#This Row],[Rider]],'RD6 Kinchina'!$F$2:$F$200,0)),"")</f>
        <v/>
      </c>
      <c r="H28" s="38" t="str">
        <f>_xlfn.IFNA(INDEX('RD7 O''Hallaron'!$I$2:$I$190,MATCH(Men_5[[#This Row],[Rider]],'RD7 O''Hallaron'!$F$2:$F$201,0)),"")</f>
        <v/>
      </c>
      <c r="I28" s="38" t="str">
        <f>_xlfn.IFNA(INDEX('RD8 Fox Creek'!$I$2:$I$204,MATCH(Men_5[[#This Row],[Rider]],'RD8 Fox Creek'!$F$2:$F$204,0)),"")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4</v>
      </c>
      <c r="L28" s="59">
        <f>3-COUNTBLANK(Men_5[[#This Row],[RD1 XCC Eagle]:[RD3 XCO Sheps]])</f>
        <v>2</v>
      </c>
      <c r="M28" s="59">
        <f>4-COUNTBLANK(Men_5[[#This Row],[RD4 XCO Ohal]:[RD7 XCO O''Halloran]])</f>
        <v>2</v>
      </c>
      <c r="N28" s="59">
        <f>2-COUNTBLANK(Men_5[[#This Row],[RD8 XCO Fox Creek]:[RD9 XCO Willowie]])</f>
        <v>0</v>
      </c>
      <c r="O28" s="59" cm="1">
        <f t="array" ref="O28">IF(Men_5[[#This Row],[Number of Rounds]]&lt;=6,SUM(IF(ISNA(B28:J28),0,B28:J28)),SUM(LARGE(B28:J28,{1,2,3,4,5,6})))</f>
        <v>868</v>
      </c>
      <c r="P28" s="59" cm="1">
        <f t="array" ref="P28">IF(Men_5[[#This Row],[Number of Rounds XCM]]&lt;=3,SUM(IF(ISNA(E28:H28),0,E28:H28)),SUM(LARGE(E28:H28,{1,2,3})))</f>
        <v>420</v>
      </c>
      <c r="Q28" s="59">
        <f>SUM(Men_5[[#This Row],[RD8 XCO Fox Creek]:[RD9 XCO Willowie]])</f>
        <v>0</v>
      </c>
      <c r="R28" s="59">
        <f>Men_5[[#This Row],[Best 6 of 8 Overall]]+Men_5[[#This Row],[Best 3 of 4 XCM]]+Men_5[[#This Row],[Total of 2 XCO]]</f>
        <v>1288</v>
      </c>
      <c r="S28" s="134" cm="1">
        <f t="array" ref="S28">68-SUM(IF(O28&gt;$O$18:$O$212,1/COUNTIF($O$18:$O$212,$O$18:$O$212)))</f>
        <v>9.9999999999998224</v>
      </c>
      <c r="T28" s="18"/>
      <c r="U28" s="103" t="s">
        <v>172</v>
      </c>
      <c r="V28" s="77">
        <f>_xlfn.IFNA(INDEX('RD1 Eagle'!$I$2:$I$154,MATCH(Women6[[#This Row],[Rider]],'RD1 Eagle'!$F$2:$F$154,0)),"")</f>
        <v>315</v>
      </c>
      <c r="W28" s="38">
        <f>_xlfn.IFNA(INDEX('RD2 Shepherds'!$I$2:$I$143,MATCH(Women6[[#This Row],[Rider]],'RD2 Shepherds'!$F$2:$F$143,0)),"")</f>
        <v>337.5</v>
      </c>
      <c r="X28" s="34" t="str">
        <f>_xlfn.IFNA(INDEX('RD3 XCO Sheps'!$I$2:$I$190,MATCH(Women6[[#This Row],[Rider]],'RD3 XCO Sheps'!$F$2:$F$190,0)),"")</f>
        <v/>
      </c>
      <c r="Y28" s="34" t="str">
        <f>_xlfn.IFNA(INDEX('RD4 Ohalloran'!$I$2:$I$184,MATCH(Women6[[#This Row],[Rider]],'RD4 Ohalloran'!$F$2:$F$184,0)),"")</f>
        <v/>
      </c>
      <c r="Z28" s="34" t="str">
        <f>_xlfn.IFNA(INDEX('RD5 Craigburn'!$I$2:$I$164,MATCH(Women6[[#This Row],[Rider]],'RD5 Craigburn'!$F$2:$F$164,0)),"")</f>
        <v/>
      </c>
      <c r="AA28" s="34" t="str">
        <f>_xlfn.IFNA(INDEX('RD6 Kinchina'!$I$2:$I$199,MATCH(Women6[[#This Row],[Rider]],'RD6 Kinchina'!$F$2:$F$199,0)),"")</f>
        <v/>
      </c>
      <c r="AB28" s="34" t="str">
        <f>_xlfn.IFNA(INDEX('RD7 O''Hallaron'!$I$2:$I$190,MATCH(Women6[[#This Row],[Rider]],'RD7 O''Hallaron'!$F$2:$F$201,0)),"")</f>
        <v/>
      </c>
      <c r="AC28" s="34" t="str">
        <f>_xlfn.IFNA(INDEX('RD8 Fox Creek'!$I$2:$I$204,MATCH(Women6[[#This Row],[Rider]],'RD8 Fox Creek'!$F$2:$F$204,0)),"")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2</v>
      </c>
      <c r="AF28" s="57">
        <f>3-COUNTBLANK(Women6[[#This Row],[RD1 XCC Eagle]:[RD3 XCO Sheps]])</f>
        <v>2</v>
      </c>
      <c r="AG28" s="57">
        <f>4-COUNTBLANK(Women6[[#This Row],[RD4 XCO Ohal]:[RD7 XCO O''Halloran]])</f>
        <v>0</v>
      </c>
      <c r="AH28" s="57">
        <f>2-COUNTBLANK(Women6[[#This Row],[RD8 XCO Fox Creek]:[RD9 XCO Willowie]])</f>
        <v>0</v>
      </c>
      <c r="AI28" s="57" cm="1">
        <f t="array" ref="AI28">IF(Women6[[#This Row],[Number of Rounds]]&lt;=6,SUM(IF(ISNA(V28:AD28),0,V28:AD28)),SUM(LARGE(V28:AD28,{1,2,3,4,5,6})))</f>
        <v>652.5</v>
      </c>
      <c r="AJ28" s="57" cm="1">
        <f t="array" ref="AJ28">IF(Women6[[#This Row],[Number of XCM Rounds]]&lt;=3,SUM(IF(ISNA(Y28:AB28),0,Y28:AB28)),SUM(LARGE(Y28:AB28,{1,2,3})))</f>
        <v>0</v>
      </c>
      <c r="AK28" s="57">
        <f>SUM(Women6[[#This Row],[RD8 XCO Fox Creek]:[RD9 XCO Willowie]])</f>
        <v>0</v>
      </c>
      <c r="AL28" s="57">
        <f>Women6[[#This Row],[Best 3 of 4 XCM]]+Women6[[#This Row],[Best 6 of 8 Overall]]+Women6[[#This Row],[Total of 2 XCO]]</f>
        <v>652.5</v>
      </c>
      <c r="AM28" s="134" cm="1">
        <f t="array" ref="AM28">29-SUM(IF(AI28&gt;$AI$18:$AI$52,1/COUNTIF($AI$18:$AI$52,$AI$18:$AI$52)))</f>
        <v>11.000000000000004</v>
      </c>
      <c r="AN28" s="18"/>
      <c r="AO28" s="103" t="s">
        <v>265</v>
      </c>
      <c r="AP28" s="69" t="str">
        <f>_xlfn.IFNA(INDEX('RD1 Eagle'!$I$2:$I$154,MATCH(Junior7[[#This Row],[Rider]],'RD1 Eagle'!$F$2:$F$154,0)),"")</f>
        <v/>
      </c>
      <c r="AQ28" s="69">
        <f>_xlfn.IFNA(INDEX('RD2 Shepherds'!$I$2:$I$143,MATCH(Junior7[[#This Row],[Rider]],'RD2 Shepherds'!$F$2:$F$143,0)),"")</f>
        <v>400</v>
      </c>
      <c r="AR28" s="34" t="str">
        <f>_xlfn.IFNA(INDEX('RD3 XCO Sheps'!$I$2:$I$190,MATCH(Junior7[[#This Row],[Rider]],'RD3 XCO Sheps'!$F$2:$F$190,0)),"")</f>
        <v/>
      </c>
      <c r="AS28" s="34">
        <f>_xlfn.IFNA(INDEX('RD4 Ohalloran'!$I$2:$I$184,MATCH(Junior7[[#This Row],[Rider]],'RD4 Ohalloran'!$F$2:$F$184,0)),"")</f>
        <v>225</v>
      </c>
      <c r="AT28" s="34">
        <f>_xlfn.IFNA(INDEX('RD5 Craigburn'!$I$2:$I$168,MATCH(Junior7[[#This Row],[Rider]],'RD5 Craigburn'!$F$2:$F$168,0)),"")</f>
        <v>225</v>
      </c>
      <c r="AU28" s="57" t="str">
        <f>_xlfn.IFNA(INDEX('RD6 Kinchina'!$I$2:$I$199,MATCH(Junior7[[#This Row],[Rider]],'RD6 Kinchina'!$F$2:$F$199,0)),"")</f>
        <v/>
      </c>
      <c r="AV28" s="57" t="str">
        <f>_xlfn.IFNA(INDEX('RD7 O''Hallaron'!$I$2:$I$190,MATCH(Junior7[[#This Row],[Rider]],'RD7 O''Hallaron'!$F$2:$F$201,0)),"")</f>
        <v/>
      </c>
      <c r="AW28" s="57" t="str">
        <f>_xlfn.IFNA(INDEX('RD8 Fox Creek'!$I$2:$I$204,MATCH(Junior7[[#This Row],[Rider]],'RD8 Fox Creek'!$F$2:$F$204,0)),"")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3</v>
      </c>
      <c r="AZ28" s="86">
        <f>3-COUNTBLANK(Junior7[[#This Row],[RD1 XCC Eagle]:[RD3 XCO Sheps]])</f>
        <v>1</v>
      </c>
      <c r="BA28" s="86">
        <f>4-COUNTBLANK(Junior7[[#This Row],[RD4 XCO Ohal]:[RD7 XCO O''Halloran]])</f>
        <v>2</v>
      </c>
      <c r="BB28" s="86">
        <f>2-COUNTBLANK(Junior7[[#This Row],[RD8 XCO Fox Creek]:[RD9 XCO Willowie]])</f>
        <v>0</v>
      </c>
      <c r="BC28" s="122" cm="1">
        <f t="array" ref="BC28">IF(Junior7[[#This Row],[Number of Rounds]]&lt;=6,SUM(IF(ISNA(AP28:AX28),0,AP28:AX28)),SUM(LARGE(AP28:AX28,{1,2,3,4,5,6})))</f>
        <v>850</v>
      </c>
      <c r="BD28" s="86" cm="1">
        <f t="array" ref="BD28">IF(Junior7[[#This Row],[Number of XCM Rounds]]&lt;=3,SUM(IF(ISNA(AS28:AV28),0,AS28:AV28)),SUM(LARGE(AS28:AV28,{1,2,3})))</f>
        <v>450</v>
      </c>
      <c r="BE28" s="86">
        <f>SUM(Junior7[[#This Row],[RD8 XCO Fox Creek]:[RD9 XCO Willowie]])</f>
        <v>0</v>
      </c>
      <c r="BF28" s="88">
        <f>Junior7[[#This Row],[Best 3 of 4 XCM]]+Junior7[[#This Row],[Best 6 of 8 Overall]]+Junior7[[#This Row],[Total of 2 XCO]]</f>
        <v>1300</v>
      </c>
      <c r="BG28" s="37" cm="1">
        <f t="array" ref="BG28">23-SUM(IF(BC28&gt;$BC$18:$BC$71,1/COUNTIF($BC$18:$BC$71,$BC$18:$BC$71)))</f>
        <v>10.999999999999977</v>
      </c>
      <c r="BH28" s="18"/>
      <c r="BI28" s="103"/>
      <c r="BJ28" s="34" t="str">
        <f>_xlfn.IFNA(INDEX('RD1 Eagle'!$I$2:$I$154,MATCH(Women5108[[#This Row],[Rider]],'RD1 Eagle'!$F$2:$F$154,0)),"")</f>
        <v/>
      </c>
      <c r="BK28" s="34" t="str">
        <f>_xlfn.IFNA(INDEX('RD2 Shepherds'!$I$2:$I$143,MATCH(Women5108[[#This Row],[Rider]],'RD2 Shepherds'!$F$2:$F$143,0)),"")</f>
        <v/>
      </c>
      <c r="BL28" s="34" t="str">
        <f>_xlfn.IFNA(INDEX('RD3 XCO Sheps'!$I$2:$I$115,MATCH(Women5108[[#This Row],[Rider]],'RD3 XCO Sheps'!$F$2:$F$115,0)),"")</f>
        <v/>
      </c>
      <c r="BM28" s="34" t="str">
        <f>_xlfn.IFNA(INDEX('RD4 Ohalloran'!$I$2:$I$109,MATCH(Women5108[[#This Row],[Rider]],'RD4 Ohalloran'!$F$2:$F$109,0)),"")</f>
        <v/>
      </c>
      <c r="BN28" s="34" t="str">
        <f>_xlfn.IFNA(INDEX('RD5 Craigburn'!$I$2:$I$164,MATCH(Women5108[[#This Row],[Rider]],'RD5 Craigburn'!$F$2:$F$164,0)),"")</f>
        <v/>
      </c>
      <c r="BO28" s="34" t="str">
        <f>_xlfn.IFNA(INDEX('RD6 Kinchina'!$I$2:$I$199,MATCH(Women5108[[#This Row],[Rider]],'RD6 Kinchina'!$F$2:$F$199,0)),"")</f>
        <v/>
      </c>
      <c r="BP28" s="34" t="str">
        <f>_xlfn.IFNA(INDEX('RD7 O''Hallaron'!$I$2:$I$190,MATCH(Women5108[[#This Row],[Rider]],'RD7 O''Hallaron'!$F$2:$F$201,0)),"")</f>
        <v/>
      </c>
      <c r="BQ28" s="34" t="str">
        <f>_xlfn.IFNA(INDEX('RD8 Fox Creek'!$I$2:$I$204,MATCH(Women5108[[#This Row],[Rider]],'RD8 Fox Creek'!$F$2:$F$204,0)),"")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O''Halloran]])</f>
        <v>0</v>
      </c>
      <c r="BV28" s="34">
        <f>2-COUNTBLANK(Women5108[[#This Row],[RD8 XCO Fox Creek]:[RD9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Fox Creek]:[RD9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6-SUM(IF(BW28&gt;$BW$18:$BW$28,1/COUNTIF($BW$18:$BW$28,$BW$18:$BW$28)))</f>
        <v>6</v>
      </c>
    </row>
    <row r="29" spans="1:79" ht="16" x14ac:dyDescent="0.2">
      <c r="A29" s="103" t="s">
        <v>229</v>
      </c>
      <c r="B29" s="38" t="str">
        <f>_xlfn.IFNA(INDEX('RD1 Eagle'!$I$2:$I$154,MATCH(Men_5[[#This Row],[Rider]],'RD1 Eagle'!$F$2:$F$154,0)),"")</f>
        <v/>
      </c>
      <c r="C29" s="38">
        <f>_xlfn.IFNA(INDEX('RD2 Shepherds'!$I$2:$I$143,MATCH(Men_5[[#This Row],[Rider]],'RD2 Shepherds'!$F$2:$F$143,0)),"")</f>
        <v>315</v>
      </c>
      <c r="D29" s="38" t="str">
        <f>_xlfn.IFNA(INDEX('RD3 XCO Sheps'!$I$2:$I$190,MATCH(Men_5[[#This Row],[Rider]],'RD3 XCO Sheps'!$F$2:$F$190,0)),"")</f>
        <v/>
      </c>
      <c r="E29" s="38">
        <f>_xlfn.IFNA(INDEX('RD4 Ohalloran'!$I$2:$I$180,MATCH(Men_5[[#This Row],[Rider]],'RD4 Ohalloran'!$F$2:$F$180,0)),"")</f>
        <v>203</v>
      </c>
      <c r="F29" s="38">
        <f>_xlfn.IFNA(INDEX('RD5 Craigburn'!$I$2:$I$164,MATCH(Men_5[[#This Row],[Rider]],'RD5 Craigburn'!$F$2:$F$164,0)),"")</f>
        <v>350</v>
      </c>
      <c r="G29" s="38" t="str">
        <f>_xlfn.IFNA(INDEX('RD6 Kinchina'!$I$2:$I$200,MATCH(Men_5[[#This Row],[Rider]],'RD6 Kinchina'!$F$2:$F$200,0)),"")</f>
        <v/>
      </c>
      <c r="H29" s="38" t="str">
        <f>_xlfn.IFNA(INDEX('RD7 O''Hallaron'!$I$2:$I$190,MATCH(Men_5[[#This Row],[Rider]],'RD7 O''Hallaron'!$F$2:$F$201,0)),"")</f>
        <v/>
      </c>
      <c r="I29" s="38" t="str">
        <f>_xlfn.IFNA(INDEX('RD8 Fox Creek'!$I$2:$I$204,MATCH(Men_5[[#This Row],[Rider]],'RD8 Fox Creek'!$F$2:$F$204,0)),"")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3</v>
      </c>
      <c r="L29" s="59">
        <f>3-COUNTBLANK(Men_5[[#This Row],[RD1 XCC Eagle]:[RD3 XCO Sheps]])</f>
        <v>1</v>
      </c>
      <c r="M29" s="59">
        <f>4-COUNTBLANK(Men_5[[#This Row],[RD4 XCO Ohal]:[RD7 XCO O''Halloran]])</f>
        <v>2</v>
      </c>
      <c r="N29" s="59">
        <f>2-COUNTBLANK(Men_5[[#This Row],[RD8 XCO Fox Creek]:[RD9 XCO Willowie]])</f>
        <v>0</v>
      </c>
      <c r="O29" s="59" cm="1">
        <f t="array" ref="O29">IF(Men_5[[#This Row],[Number of Rounds]]&lt;=6,SUM(IF(ISNA(B29:J29),0,B29:J29)),SUM(LARGE(B29:J29,{1,2,3,4,5,6})))</f>
        <v>868</v>
      </c>
      <c r="P29" s="59" cm="1">
        <f t="array" ref="P29">IF(Men_5[[#This Row],[Number of Rounds XCM]]&lt;=3,SUM(IF(ISNA(E29:H29),0,E29:H29)),SUM(LARGE(E29:H29,{1,2,3})))</f>
        <v>553</v>
      </c>
      <c r="Q29" s="59">
        <f>SUM(Men_5[[#This Row],[RD8 XCO Fox Creek]:[RD9 XCO Willowie]])</f>
        <v>0</v>
      </c>
      <c r="R29" s="59">
        <f>Men_5[[#This Row],[Best 6 of 8 Overall]]+Men_5[[#This Row],[Best 3 of 4 XCM]]+Men_5[[#This Row],[Total of 2 XCO]]</f>
        <v>1421</v>
      </c>
      <c r="S29" s="134" cm="1">
        <f t="array" ref="S29">68-SUM(IF(O29&gt;$O$18:$O$212,1/COUNTIF($O$18:$O$212,$O$18:$O$212)))</f>
        <v>9.9999999999998224</v>
      </c>
      <c r="T29" s="18"/>
      <c r="U29" s="103" t="s">
        <v>174</v>
      </c>
      <c r="V29" s="77">
        <f>_xlfn.IFNA(INDEX('RD1 Eagle'!$I$2:$I$154,MATCH(Women6[[#This Row],[Rider]],'RD1 Eagle'!$F$2:$F$154,0)),"")</f>
        <v>280</v>
      </c>
      <c r="W29" s="38">
        <f>_xlfn.IFNA(INDEX('RD2 Shepherds'!$I$2:$I$143,MATCH(Women6[[#This Row],[Rider]],'RD2 Shepherds'!$F$2:$F$143,0)),"")</f>
        <v>294</v>
      </c>
      <c r="X29" s="34" t="str">
        <f>_xlfn.IFNA(INDEX('RD3 XCO Sheps'!$I$2:$I$190,MATCH(Women6[[#This Row],[Rider]],'RD3 XCO Sheps'!$F$2:$F$190,0)),"")</f>
        <v/>
      </c>
      <c r="Y29" s="34" t="str">
        <f>_xlfn.IFNA(INDEX('RD4 Ohalloran'!$I$2:$I$184,MATCH(Women6[[#This Row],[Rider]],'RD4 Ohalloran'!$F$2:$F$184,0)),"")</f>
        <v/>
      </c>
      <c r="Z29" s="34" t="str">
        <f>_xlfn.IFNA(INDEX('RD5 Craigburn'!$I$2:$I$164,MATCH(Women6[[#This Row],[Rider]],'RD5 Craigburn'!$F$2:$F$164,0)),"")</f>
        <v/>
      </c>
      <c r="AA29" s="34" t="str">
        <f>_xlfn.IFNA(INDEX('RD6 Kinchina'!$I$2:$I$199,MATCH(Women6[[#This Row],[Rider]],'RD6 Kinchina'!$F$2:$F$199,0)),"")</f>
        <v/>
      </c>
      <c r="AB29" s="34" t="str">
        <f>_xlfn.IFNA(INDEX('RD7 O''Hallaron'!$I$2:$I$190,MATCH(Women6[[#This Row],[Rider]],'RD7 O''Hallaron'!$F$2:$F$201,0)),"")</f>
        <v/>
      </c>
      <c r="AC29" s="34" t="str">
        <f>_xlfn.IFNA(INDEX('RD8 Fox Creek'!$I$2:$I$204,MATCH(Women6[[#This Row],[Rider]],'RD8 Fox Creek'!$F$2:$F$204,0)),"")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2</v>
      </c>
      <c r="AF29" s="57">
        <f>3-COUNTBLANK(Women6[[#This Row],[RD1 XCC Eagle]:[RD3 XCO Sheps]])</f>
        <v>2</v>
      </c>
      <c r="AG29" s="57">
        <f>4-COUNTBLANK(Women6[[#This Row],[RD4 XCO Ohal]:[RD7 XCO O''Halloran]])</f>
        <v>0</v>
      </c>
      <c r="AH29" s="57">
        <f>2-COUNTBLANK(Women6[[#This Row],[RD8 XCO Fox Creek]:[RD9 XCO Willowie]])</f>
        <v>0</v>
      </c>
      <c r="AI29" s="57" cm="1">
        <f t="array" ref="AI29">IF(Women6[[#This Row],[Number of Rounds]]&lt;=6,SUM(IF(ISNA(V29:AD29),0,V29:AD29)),SUM(LARGE(V29:AD29,{1,2,3,4,5,6})))</f>
        <v>574</v>
      </c>
      <c r="AJ29" s="57" cm="1">
        <f t="array" ref="AJ29">IF(Women6[[#This Row],[Number of XCM Rounds]]&lt;=3,SUM(IF(ISNA(Y29:AB29),0,Y29:AB29)),SUM(LARGE(Y29:AB29,{1,2,3})))</f>
        <v>0</v>
      </c>
      <c r="AK29" s="57">
        <f>SUM(Women6[[#This Row],[RD8 XCO Fox Creek]:[RD9 XCO Willowie]])</f>
        <v>0</v>
      </c>
      <c r="AL29" s="57">
        <f>Women6[[#This Row],[Best 3 of 4 XCM]]+Women6[[#This Row],[Best 6 of 8 Overall]]+Women6[[#This Row],[Total of 2 XCO]]</f>
        <v>574</v>
      </c>
      <c r="AM29" s="134" cm="1">
        <f t="array" ref="AM29">29-SUM(IF(AI29&gt;$AI$18:$AI$52,1/COUNTIF($AI$18:$AI$52,$AI$18:$AI$52)))</f>
        <v>12.000000000000004</v>
      </c>
      <c r="AN29" s="18"/>
      <c r="AO29" s="103" t="s">
        <v>187</v>
      </c>
      <c r="AP29" s="69">
        <f>_xlfn.IFNA(INDEX('RD1 Eagle'!$I$2:$I$154,MATCH(Junior7[[#This Row],[Rider]],'RD1 Eagle'!$F$2:$F$154,0)),"")</f>
        <v>420</v>
      </c>
      <c r="AQ29" s="69">
        <f>_xlfn.IFNA(INDEX('RD2 Shepherds'!$I$2:$I$143,MATCH(Junior7[[#This Row],[Rider]],'RD2 Shepherds'!$F$2:$F$143,0)),"")</f>
        <v>420</v>
      </c>
      <c r="AR29" s="34" t="str">
        <f>_xlfn.IFNA(INDEX('RD3 XCO Sheps'!$I$2:$I$190,MATCH(Junior7[[#This Row],[Rider]],'RD3 XCO Sheps'!$F$2:$F$190,0)),"")</f>
        <v/>
      </c>
      <c r="AS29" s="34" t="str">
        <f>_xlfn.IFNA(INDEX('RD4 Ohalloran'!$I$2:$I$184,MATCH(Junior7[[#This Row],[Rider]],'RD4 Ohalloran'!$F$2:$F$184,0)),"")</f>
        <v/>
      </c>
      <c r="AT29" s="34" t="str">
        <f>_xlfn.IFNA(INDEX('RD5 Craigburn'!$I$2:$I$168,MATCH(Junior7[[#This Row],[Rider]],'RD5 Craigburn'!$F$2:$F$168,0)),"")</f>
        <v/>
      </c>
      <c r="AU29" s="57" t="str">
        <f>_xlfn.IFNA(INDEX('RD6 Kinchina'!$I$2:$I$199,MATCH(Junior7[[#This Row],[Rider]],'RD6 Kinchina'!$F$2:$F$199,0)),"")</f>
        <v/>
      </c>
      <c r="AV29" s="57" t="str">
        <f>_xlfn.IFNA(INDEX('RD7 O''Hallaron'!$I$2:$I$190,MATCH(Junior7[[#This Row],[Rider]],'RD7 O''Hallaron'!$F$2:$F$201,0)),"")</f>
        <v/>
      </c>
      <c r="AW29" s="57" t="str">
        <f>_xlfn.IFNA(INDEX('RD8 Fox Creek'!$I$2:$I$204,MATCH(Junior7[[#This Row],[Rider]],'RD8 Fox Creek'!$F$2:$F$204,0)),"")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2</v>
      </c>
      <c r="AZ29" s="47">
        <f>3-COUNTBLANK(Junior7[[#This Row],[RD1 XCC Eagle]:[RD3 XCO Sheps]])</f>
        <v>2</v>
      </c>
      <c r="BA29" s="47">
        <f>4-COUNTBLANK(Junior7[[#This Row],[RD4 XCO Ohal]:[RD7 XCO O''Halloran]])</f>
        <v>0</v>
      </c>
      <c r="BB29" s="47">
        <f>2-COUNTBLANK(Junior7[[#This Row],[RD8 XCO Fox Creek]:[RD9 XCO Willowie]])</f>
        <v>0</v>
      </c>
      <c r="BC29" s="76" cm="1">
        <f t="array" ref="BC29">IF(Junior7[[#This Row],[Number of Rounds]]&lt;=6,SUM(IF(ISNA(AP29:AX29),0,AP29:AX29)),SUM(LARGE(AP29:AX29,{1,2,3,4,5,6})))</f>
        <v>840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Fox Creek]:[RD9 XCO Willowie]])</f>
        <v>0</v>
      </c>
      <c r="BF29" s="46">
        <f>Junior7[[#This Row],[Best 3 of 4 XCM]]+Junior7[[#This Row],[Best 6 of 8 Overall]]+Junior7[[#This Row],[Total of 2 XCO]]</f>
        <v>840</v>
      </c>
      <c r="BG29" s="37" cm="1">
        <f t="array" ref="BG29">23-SUM(IF(BC29&gt;$BC$18:$BC$71,1/COUNTIF($BC$18:$BC$71,$BC$18:$BC$71)))</f>
        <v>11.999999999999977</v>
      </c>
      <c r="BH29" s="18"/>
    </row>
    <row r="30" spans="1:79" ht="16" x14ac:dyDescent="0.2">
      <c r="A30" s="103" t="s">
        <v>183</v>
      </c>
      <c r="B30" s="38">
        <f>_xlfn.IFNA(INDEX('RD1 Eagle'!$I$2:$I$154,MATCH(Men_5[[#This Row],[Rider]],'RD1 Eagle'!$F$2:$F$154,0)),"")</f>
        <v>285</v>
      </c>
      <c r="C30" s="38">
        <f>_xlfn.IFNA(INDEX('RD2 Shepherds'!$I$2:$I$143,MATCH(Men_5[[#This Row],[Rider]],'RD2 Shepherds'!$F$2:$F$143,0)),"")</f>
        <v>277.5</v>
      </c>
      <c r="D30" s="38" t="str">
        <f>_xlfn.IFNA(INDEX('RD3 XCO Sheps'!$I$2:$I$190,MATCH(Men_5[[#This Row],[Rider]],'RD3 XCO Sheps'!$F$2:$F$190,0)),"")</f>
        <v/>
      </c>
      <c r="E30" s="38" t="str">
        <f>_xlfn.IFNA(INDEX('RD4 Ohalloran'!$I$2:$I$180,MATCH(Men_5[[#This Row],[Rider]],'RD4 Ohalloran'!$F$2:$F$180,0)),"")</f>
        <v/>
      </c>
      <c r="F30" s="38">
        <f>_xlfn.IFNA(INDEX('RD5 Craigburn'!$I$2:$I$164,MATCH(Men_5[[#This Row],[Rider]],'RD5 Craigburn'!$F$2:$F$164,0)),"")</f>
        <v>285</v>
      </c>
      <c r="G30" s="38" t="str">
        <f>_xlfn.IFNA(INDEX('RD6 Kinchina'!$I$2:$I$200,MATCH(Men_5[[#This Row],[Rider]],'RD6 Kinchina'!$F$2:$F$200,0)),"")</f>
        <v/>
      </c>
      <c r="H30" s="38" t="str">
        <f>_xlfn.IFNA(INDEX('RD7 O''Hallaron'!$I$2:$I$190,MATCH(Men_5[[#This Row],[Rider]],'RD7 O''Hallaron'!$F$2:$F$201,0)),"")</f>
        <v/>
      </c>
      <c r="I30" s="38" t="str">
        <f>_xlfn.IFNA(INDEX('RD8 Fox Creek'!$I$2:$I$204,MATCH(Men_5[[#This Row],[Rider]],'RD8 Fox Creek'!$F$2:$F$204,0)),"")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3</v>
      </c>
      <c r="L30" s="59">
        <f>3-COUNTBLANK(Men_5[[#This Row],[RD1 XCC Eagle]:[RD3 XCO Sheps]])</f>
        <v>2</v>
      </c>
      <c r="M30" s="59">
        <f>4-COUNTBLANK(Men_5[[#This Row],[RD4 XCO Ohal]:[RD7 XCO O''Halloran]])</f>
        <v>1</v>
      </c>
      <c r="N30" s="59">
        <f>2-COUNTBLANK(Men_5[[#This Row],[RD8 XCO Fox Creek]:[RD9 XCO Willowie]])</f>
        <v>0</v>
      </c>
      <c r="O30" s="59" cm="1">
        <f t="array" ref="O30">IF(Men_5[[#This Row],[Number of Rounds]]&lt;=6,SUM(IF(ISNA(B30:J30),0,B30:J30)),SUM(LARGE(B30:J30,{1,2,3,4,5,6})))</f>
        <v>847.5</v>
      </c>
      <c r="P30" s="59" cm="1">
        <f t="array" ref="P30">IF(Men_5[[#This Row],[Number of Rounds XCM]]&lt;=3,SUM(IF(ISNA(E30:H30),0,E30:H30)),SUM(LARGE(E30:H30,{1,2,3})))</f>
        <v>285</v>
      </c>
      <c r="Q30" s="59">
        <f>SUM(Men_5[[#This Row],[RD8 XCO Fox Creek]:[RD9 XCO Willowie]])</f>
        <v>0</v>
      </c>
      <c r="R30" s="59">
        <f>Men_5[[#This Row],[Best 6 of 8 Overall]]+Men_5[[#This Row],[Best 3 of 4 XCM]]+Men_5[[#This Row],[Total of 2 XCO]]</f>
        <v>1132.5</v>
      </c>
      <c r="S30" s="134" cm="1">
        <f t="array" ref="S30">68-SUM(IF(O30&gt;$O$18:$O$212,1/COUNTIF($O$18:$O$212,$O$18:$O$212)))</f>
        <v>10.999999999999822</v>
      </c>
      <c r="T30" s="18"/>
      <c r="U30" s="103" t="s">
        <v>248</v>
      </c>
      <c r="V30" s="77" t="str">
        <f>_xlfn.IFNA(INDEX('RD1 Eagle'!$I$2:$I$154,MATCH(Women6[[#This Row],[Rider]],'RD1 Eagle'!$F$2:$F$154,0)),"")</f>
        <v/>
      </c>
      <c r="W30" s="38">
        <f>_xlfn.IFNA(INDEX('RD2 Shepherds'!$I$2:$I$143,MATCH(Women6[[#This Row],[Rider]],'RD2 Shepherds'!$F$2:$F$143,0)),"")</f>
        <v>285</v>
      </c>
      <c r="X30" s="38" t="str">
        <f>_xlfn.IFNA(INDEX('RD3 XCO Sheps'!$I$2:$I$190,MATCH(Women6[[#This Row],[Rider]],'RD3 XCO Sheps'!$F$2:$F$190,0)),"")</f>
        <v/>
      </c>
      <c r="Y30" s="34">
        <f>_xlfn.IFNA(INDEX('RD4 Ohalloran'!$I$2:$I$184,MATCH(Women6[[#This Row],[Rider]],'RD4 Ohalloran'!$F$2:$F$184,0)),"")</f>
        <v>250</v>
      </c>
      <c r="Z30" s="34" t="str">
        <f>_xlfn.IFNA(INDEX('RD5 Craigburn'!$I$2:$I$164,MATCH(Women6[[#This Row],[Rider]],'RD5 Craigburn'!$F$2:$F$164,0)),"")</f>
        <v/>
      </c>
      <c r="AA30" s="34" t="str">
        <f>_xlfn.IFNA(INDEX('RD6 Kinchina'!$I$2:$I$199,MATCH(Women6[[#This Row],[Rider]],'RD6 Kinchina'!$F$2:$F$199,0)),"")</f>
        <v/>
      </c>
      <c r="AB30" s="34" t="str">
        <f>_xlfn.IFNA(INDEX('RD7 O''Hallaron'!$I$2:$I$190,MATCH(Women6[[#This Row],[Rider]],'RD7 O''Hallaron'!$F$2:$F$201,0)),"")</f>
        <v/>
      </c>
      <c r="AC30" s="34" t="str">
        <f>_xlfn.IFNA(INDEX('RD8 Fox Creek'!$I$2:$I$204,MATCH(Women6[[#This Row],[Rider]],'RD8 Fox Creek'!$F$2:$F$204,0)),"")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2</v>
      </c>
      <c r="AF30" s="57">
        <f>3-COUNTBLANK(Women6[[#This Row],[RD1 XCC Eagle]:[RD3 XCO Sheps]])</f>
        <v>1</v>
      </c>
      <c r="AG30" s="57">
        <f>4-COUNTBLANK(Women6[[#This Row],[RD4 XCO Ohal]:[RD7 XCO O''Halloran]])</f>
        <v>1</v>
      </c>
      <c r="AH30" s="57">
        <f>2-COUNTBLANK(Women6[[#This Row],[RD8 XCO Fox Creek]:[RD9 XCO Willowie]])</f>
        <v>0</v>
      </c>
      <c r="AI30" s="57" cm="1">
        <f t="array" ref="AI30">IF(Women6[[#This Row],[Number of Rounds]]&lt;=6,SUM(IF(ISNA(V30:AD30),0,V30:AD30)),SUM(LARGE(V30:AD30,{1,2,3,4,5,6})))</f>
        <v>535</v>
      </c>
      <c r="AJ30" s="57" cm="1">
        <f t="array" ref="AJ30">IF(Women6[[#This Row],[Number of XCM Rounds]]&lt;=3,SUM(IF(ISNA(Y30:AB30),0,Y30:AB30)),SUM(LARGE(Y30:AB30,{1,2,3})))</f>
        <v>250</v>
      </c>
      <c r="AK30" s="57">
        <f>SUM(Women6[[#This Row],[RD8 XCO Fox Creek]:[RD9 XCO Willowie]])</f>
        <v>0</v>
      </c>
      <c r="AL30" s="57">
        <f>Women6[[#This Row],[Best 3 of 4 XCM]]+Women6[[#This Row],[Best 6 of 8 Overall]]+Women6[[#This Row],[Total of 2 XCO]]</f>
        <v>785</v>
      </c>
      <c r="AM30" s="134" cm="1">
        <f t="array" ref="AM30">29-SUM(IF(AI30&gt;$AI$18:$AI$52,1/COUNTIF($AI$18:$AI$52,$AI$18:$AI$52)))</f>
        <v>13.000000000000004</v>
      </c>
      <c r="AN30" s="18"/>
      <c r="AO30" s="103" t="s">
        <v>258</v>
      </c>
      <c r="AP30" s="69" t="str">
        <f>_xlfn.IFNA(INDEX('RD1 Eagle'!$I$2:$I$154,MATCH(Junior7[[#This Row],[Rider]],'RD1 Eagle'!$F$2:$F$154,0)),"")</f>
        <v/>
      </c>
      <c r="AQ30" s="69">
        <f>_xlfn.IFNA(INDEX('RD2 Shepherds'!$I$2:$I$143,MATCH(Junior7[[#This Row],[Rider]],'RD2 Shepherds'!$F$2:$F$143,0)),"")</f>
        <v>390</v>
      </c>
      <c r="AR30" s="34" t="str">
        <f>_xlfn.IFNA(INDEX('RD3 XCO Sheps'!$I$2:$I$190,MATCH(Junior7[[#This Row],[Rider]],'RD3 XCO Sheps'!$F$2:$F$190,0)),"")</f>
        <v/>
      </c>
      <c r="AS30" s="34">
        <f>_xlfn.IFNA(INDEX('RD4 Ohalloran'!$I$2:$I$184,MATCH(Junior7[[#This Row],[Rider]],'RD4 Ohalloran'!$F$2:$F$184,0)),"")</f>
        <v>400</v>
      </c>
      <c r="AT30" s="34" t="str">
        <f>_xlfn.IFNA(INDEX('RD5 Craigburn'!$I$2:$I$168,MATCH(Junior7[[#This Row],[Rider]],'RD5 Craigburn'!$F$2:$F$168,0)),"")</f>
        <v/>
      </c>
      <c r="AU30" s="57" t="str">
        <f>_xlfn.IFNA(INDEX('RD6 Kinchina'!$I$2:$I$199,MATCH(Junior7[[#This Row],[Rider]],'RD6 Kinchina'!$F$2:$F$199,0)),"")</f>
        <v/>
      </c>
      <c r="AV30" s="57" t="str">
        <f>_xlfn.IFNA(INDEX('RD7 O''Hallaron'!$I$2:$I$190,MATCH(Junior7[[#This Row],[Rider]],'RD7 O''Hallaron'!$F$2:$F$201,0)),"")</f>
        <v/>
      </c>
      <c r="AW30" s="57" t="str">
        <f>_xlfn.IFNA(INDEX('RD8 Fox Creek'!$I$2:$I$204,MATCH(Junior7[[#This Row],[Rider]],'RD8 Fox Creek'!$F$2:$F$204,0)),"")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2</v>
      </c>
      <c r="AZ30" s="24">
        <f>3-COUNTBLANK(Junior7[[#This Row],[RD1 XCC Eagle]:[RD3 XCO Sheps]])</f>
        <v>1</v>
      </c>
      <c r="BA30" s="24">
        <f>4-COUNTBLANK(Junior7[[#This Row],[RD4 XCO Ohal]:[RD7 XCO O''Halloran]])</f>
        <v>1</v>
      </c>
      <c r="BB30" s="24">
        <f>2-COUNTBLANK(Junior7[[#This Row],[RD8 XCO Fox Creek]:[RD9 XCO Willowie]])</f>
        <v>0</v>
      </c>
      <c r="BC30" s="34" cm="1">
        <f t="array" ref="BC30">IF(Junior7[[#This Row],[Number of Rounds]]&lt;=6,SUM(IF(ISNA(AP30:AX30),0,AP30:AX30)),SUM(LARGE(AP30:AX30,{1,2,3,4,5,6})))</f>
        <v>790</v>
      </c>
      <c r="BD30" s="24" cm="1">
        <f t="array" ref="BD30">IF(Junior7[[#This Row],[Number of XCM Rounds]]&lt;=3,SUM(IF(ISNA(AS30:AV30),0,AS30:AV30)),SUM(LARGE(AS30:AV30,{1,2,3})))</f>
        <v>400</v>
      </c>
      <c r="BE30" s="24">
        <f>SUM(Junior7[[#This Row],[RD8 XCO Fox Creek]:[RD9 XCO Willowie]])</f>
        <v>0</v>
      </c>
      <c r="BF30" s="23">
        <f>Junior7[[#This Row],[Best 3 of 4 XCM]]+Junior7[[#This Row],[Best 6 of 8 Overall]]+Junior7[[#This Row],[Total of 2 XCO]]</f>
        <v>1190</v>
      </c>
      <c r="BG30" s="37" cm="1">
        <f t="array" ref="BG30">23-SUM(IF(BC30&gt;$BC$18:$BC$71,1/COUNTIF($BC$18:$BC$71,$BC$18:$BC$71)))</f>
        <v>12.999999999999977</v>
      </c>
      <c r="BH30" s="18"/>
    </row>
    <row r="31" spans="1:79" ht="16" x14ac:dyDescent="0.2">
      <c r="A31" s="103" t="s">
        <v>200</v>
      </c>
      <c r="B31" s="38">
        <f>_xlfn.IFNA(INDEX('RD1 Eagle'!$I$2:$I$154,MATCH(Men_5[[#This Row],[Rider]],'RD1 Eagle'!$F$2:$F$154,0)),"")</f>
        <v>420</v>
      </c>
      <c r="C31" s="38" t="str">
        <f>_xlfn.IFNA(INDEX('RD2 Shepherds'!$I$2:$I$143,MATCH(Men_5[[#This Row],[Rider]],'RD2 Shepherds'!$F$2:$F$143,0)),"")</f>
        <v/>
      </c>
      <c r="D31" s="38" t="str">
        <f>_xlfn.IFNA(INDEX('RD3 XCO Sheps'!$I$2:$I$190,MATCH(Men_5[[#This Row],[Rider]],'RD3 XCO Sheps'!$F$2:$F$190,0)),"")</f>
        <v/>
      </c>
      <c r="E31" s="38" t="str">
        <f>_xlfn.IFNA(INDEX('RD4 Ohalloran'!$I$2:$I$180,MATCH(Men_5[[#This Row],[Rider]],'RD4 Ohalloran'!$F$2:$F$180,0)),"")</f>
        <v/>
      </c>
      <c r="F31" s="38">
        <f>_xlfn.IFNA(INDEX('RD5 Craigburn'!$I$2:$I$164,MATCH(Men_5[[#This Row],[Rider]],'RD5 Craigburn'!$F$2:$F$164,0)),"")</f>
        <v>390</v>
      </c>
      <c r="G31" s="38" t="str">
        <f>_xlfn.IFNA(INDEX('RD6 Kinchina'!$I$2:$I$200,MATCH(Men_5[[#This Row],[Rider]],'RD6 Kinchina'!$F$2:$F$200,0)),"")</f>
        <v/>
      </c>
      <c r="H31" s="38" t="str">
        <f>_xlfn.IFNA(INDEX('RD7 O''Hallaron'!$I$2:$I$190,MATCH(Men_5[[#This Row],[Rider]],'RD7 O''Hallaron'!$F$2:$F$201,0)),"")</f>
        <v/>
      </c>
      <c r="I31" s="38" t="str">
        <f>_xlfn.IFNA(INDEX('RD8 Fox Creek'!$I$2:$I$204,MATCH(Men_5[[#This Row],[Rider]],'RD8 Fox Creek'!$F$2:$F$204,0)),"")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2</v>
      </c>
      <c r="L31" s="59">
        <f>3-COUNTBLANK(Men_5[[#This Row],[RD1 XCC Eagle]:[RD3 XCO Sheps]])</f>
        <v>1</v>
      </c>
      <c r="M31" s="59">
        <f>4-COUNTBLANK(Men_5[[#This Row],[RD4 XCO Ohal]:[RD7 XCO O''Halloran]])</f>
        <v>1</v>
      </c>
      <c r="N31" s="59">
        <f>2-COUNTBLANK(Men_5[[#This Row],[RD8 XCO Fox Creek]:[RD9 XCO Willowie]])</f>
        <v>0</v>
      </c>
      <c r="O31" s="59" cm="1">
        <f t="array" ref="O31">IF(Men_5[[#This Row],[Number of Rounds]]&lt;=6,SUM(IF(ISNA(B31:J31),0,B31:J31)),SUM(LARGE(B31:J31,{1,2,3,4,5,6})))</f>
        <v>810</v>
      </c>
      <c r="P31" s="59" cm="1">
        <f t="array" ref="P31">IF(Men_5[[#This Row],[Number of Rounds XCM]]&lt;=3,SUM(IF(ISNA(E31:H31),0,E31:H31)),SUM(LARGE(E31:H31,{1,2,3})))</f>
        <v>390</v>
      </c>
      <c r="Q31" s="59">
        <f>SUM(Men_5[[#This Row],[RD8 XCO Fox Creek]:[RD9 XCO Willowie]])</f>
        <v>0</v>
      </c>
      <c r="R31" s="59">
        <f>Men_5[[#This Row],[Best 6 of 8 Overall]]+Men_5[[#This Row],[Best 3 of 4 XCM]]+Men_5[[#This Row],[Total of 2 XCO]]</f>
        <v>1200</v>
      </c>
      <c r="S31" s="134" cm="1">
        <f t="array" ref="S31">68-SUM(IF(O31&gt;$O$18:$O$212,1/COUNTIF($O$18:$O$212,$O$18:$O$212)))</f>
        <v>11.999999999999822</v>
      </c>
      <c r="T31" s="18"/>
      <c r="U31" s="103" t="s">
        <v>243</v>
      </c>
      <c r="V31" s="77" t="str">
        <f>_xlfn.IFNA(INDEX('RD1 Eagle'!$I$2:$I$154,MATCH(Women6[[#This Row],[Rider]],'RD1 Eagle'!$F$2:$F$154,0)),"")</f>
        <v/>
      </c>
      <c r="W31" s="38">
        <f>_xlfn.IFNA(INDEX('RD2 Shepherds'!$I$2:$I$143,MATCH(Women6[[#This Row],[Rider]],'RD2 Shepherds'!$F$2:$F$143,0)),"")</f>
        <v>500</v>
      </c>
      <c r="X31" s="34" t="str">
        <f>_xlfn.IFNA(INDEX('RD3 XCO Sheps'!$I$2:$I$190,MATCH(Women6[[#This Row],[Rider]],'RD3 XCO Sheps'!$F$2:$F$190,0)),"")</f>
        <v/>
      </c>
      <c r="Y31" s="34" t="str">
        <f>_xlfn.IFNA(INDEX('RD4 Ohalloran'!$I$2:$I$184,MATCH(Women6[[#This Row],[Rider]],'RD4 Ohalloran'!$F$2:$F$184,0)),"")</f>
        <v/>
      </c>
      <c r="Z31" s="34" t="str">
        <f>_xlfn.IFNA(INDEX('RD5 Craigburn'!$I$2:$I$164,MATCH(Women6[[#This Row],[Rider]],'RD5 Craigburn'!$F$2:$F$164,0)),"")</f>
        <v/>
      </c>
      <c r="AA31" s="34" t="str">
        <f>_xlfn.IFNA(INDEX('RD6 Kinchina'!$I$2:$I$199,MATCH(Women6[[#This Row],[Rider]],'RD6 Kinchina'!$F$2:$F$199,0)),"")</f>
        <v/>
      </c>
      <c r="AB31" s="34" t="str">
        <f>_xlfn.IFNA(INDEX('RD7 O''Hallaron'!$I$2:$I$190,MATCH(Women6[[#This Row],[Rider]],'RD7 O''Hallaron'!$F$2:$F$201,0)),"")</f>
        <v/>
      </c>
      <c r="AC31" s="34" t="str">
        <f>_xlfn.IFNA(INDEX('RD8 Fox Creek'!$I$2:$I$204,MATCH(Women6[[#This Row],[Rider]],'RD8 Fox Creek'!$F$2:$F$204,0)),"")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1</v>
      </c>
      <c r="AF31" s="57">
        <f>3-COUNTBLANK(Women6[[#This Row],[RD1 XCC Eagle]:[RD3 XCO Sheps]])</f>
        <v>1</v>
      </c>
      <c r="AG31" s="57">
        <f>4-COUNTBLANK(Women6[[#This Row],[RD4 XCO Ohal]:[RD7 XCO O''Halloran]])</f>
        <v>0</v>
      </c>
      <c r="AH31" s="57">
        <f>2-COUNTBLANK(Women6[[#This Row],[RD8 XCO Fox Creek]:[RD9 XCO Willowie]])</f>
        <v>0</v>
      </c>
      <c r="AI31" s="57" cm="1">
        <f t="array" ref="AI31">IF(Women6[[#This Row],[Number of Rounds]]&lt;=6,SUM(IF(ISNA(V31:AD31),0,V31:AD31)),SUM(LARGE(V31:AD31,{1,2,3,4,5,6})))</f>
        <v>500</v>
      </c>
      <c r="AJ31" s="57" cm="1">
        <f t="array" ref="AJ31">IF(Women6[[#This Row],[Number of XCM Rounds]]&lt;=3,SUM(IF(ISNA(Y31:AB31),0,Y31:AB31)),SUM(LARGE(Y31:AB31,{1,2,3})))</f>
        <v>0</v>
      </c>
      <c r="AK31" s="57">
        <f>SUM(Women6[[#This Row],[RD8 XCO Fox Creek]:[RD9 XCO Willowie]])</f>
        <v>0</v>
      </c>
      <c r="AL31" s="57">
        <f>Women6[[#This Row],[Best 3 of 4 XCM]]+Women6[[#This Row],[Best 6 of 8 Overall]]+Women6[[#This Row],[Total of 2 XCO]]</f>
        <v>500</v>
      </c>
      <c r="AM31" s="134" cm="1">
        <f t="array" ref="AM31">29-SUM(IF(AI31&gt;$AI$18:$AI$52,1/COUNTIF($AI$18:$AI$52,$AI$18:$AI$52)))</f>
        <v>14.000000000000004</v>
      </c>
      <c r="AN31" s="18"/>
      <c r="AO31" s="103" t="s">
        <v>178</v>
      </c>
      <c r="AP31" s="69">
        <f>_xlfn.IFNA(INDEX('RD1 Eagle'!$I$2:$I$154,MATCH(Junior7[[#This Row],[Rider]],'RD1 Eagle'!$F$2:$F$154,0)),"")</f>
        <v>400</v>
      </c>
      <c r="AQ31" s="69">
        <f>_xlfn.IFNA(INDEX('RD2 Shepherds'!$I$2:$I$143,MATCH(Junior7[[#This Row],[Rider]],'RD2 Shepherds'!$F$2:$F$143,0)),"")</f>
        <v>380</v>
      </c>
      <c r="AR31" s="34" t="str">
        <f>_xlfn.IFNA(INDEX('RD3 XCO Sheps'!$I$2:$I$190,MATCH(Junior7[[#This Row],[Rider]],'RD3 XCO Sheps'!$F$2:$F$190,0)),"")</f>
        <v/>
      </c>
      <c r="AS31" s="34" t="str">
        <f>_xlfn.IFNA(INDEX('RD4 Ohalloran'!$I$2:$I$184,MATCH(Junior7[[#This Row],[Rider]],'RD4 Ohalloran'!$F$2:$F$184,0)),"")</f>
        <v/>
      </c>
      <c r="AT31" s="34" t="str">
        <f>_xlfn.IFNA(INDEX('RD5 Craigburn'!$I$2:$I$168,MATCH(Junior7[[#This Row],[Rider]],'RD5 Craigburn'!$F$2:$F$168,0)),"")</f>
        <v/>
      </c>
      <c r="AU31" s="57" t="str">
        <f>_xlfn.IFNA(INDEX('RD6 Kinchina'!$I$2:$I$199,MATCH(Junior7[[#This Row],[Rider]],'RD6 Kinchina'!$F$2:$F$199,0)),"")</f>
        <v/>
      </c>
      <c r="AV31" s="57" t="str">
        <f>_xlfn.IFNA(INDEX('RD7 O''Hallaron'!$I$2:$I$190,MATCH(Junior7[[#This Row],[Rider]],'RD7 O''Hallaron'!$F$2:$F$201,0)),"")</f>
        <v/>
      </c>
      <c r="AW31" s="57" t="str">
        <f>_xlfn.IFNA(INDEX('RD8 Fox Creek'!$I$2:$I$204,MATCH(Junior7[[#This Row],[Rider]],'RD8 Fox Creek'!$F$2:$F$204,0)),"")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2</v>
      </c>
      <c r="AZ31" s="24">
        <f>3-COUNTBLANK(Junior7[[#This Row],[RD1 XCC Eagle]:[RD3 XCO Sheps]])</f>
        <v>2</v>
      </c>
      <c r="BA31" s="24">
        <f>4-COUNTBLANK(Junior7[[#This Row],[RD4 XCO Ohal]:[RD7 XCO O''Halloran]])</f>
        <v>0</v>
      </c>
      <c r="BB31" s="24">
        <f>2-COUNTBLANK(Junior7[[#This Row],[RD8 XCO Fox Creek]:[RD9 XCO Willowie]])</f>
        <v>0</v>
      </c>
      <c r="BC31" s="34" cm="1">
        <f t="array" ref="BC31">IF(Junior7[[#This Row],[Number of Rounds]]&lt;=6,SUM(IF(ISNA(AP31:AX31),0,AP31:AX31)),SUM(LARGE(AP31:AX31,{1,2,3,4,5,6})))</f>
        <v>780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Fox Creek]:[RD9 XCO Willowie]])</f>
        <v>0</v>
      </c>
      <c r="BF31" s="23">
        <f>Junior7[[#This Row],[Best 3 of 4 XCM]]+Junior7[[#This Row],[Best 6 of 8 Overall]]+Junior7[[#This Row],[Total of 2 XCO]]</f>
        <v>780</v>
      </c>
      <c r="BG31" s="37" cm="1">
        <f t="array" ref="BG31">23-SUM(IF(BC31&gt;$BC$18:$BC$71,1/COUNTIF($BC$18:$BC$71,$BC$18:$BC$71)))</f>
        <v>13.99999999999998</v>
      </c>
      <c r="BH31" s="18"/>
    </row>
    <row r="32" spans="1:79" ht="16" x14ac:dyDescent="0.2">
      <c r="A32" s="103" t="s">
        <v>230</v>
      </c>
      <c r="B32" s="38" t="str">
        <f>_xlfn.IFNA(INDEX('RD1 Eagle'!$I$2:$I$154,MATCH(Men_5[[#This Row],[Rider]],'RD1 Eagle'!$F$2:$F$154,0)),"")</f>
        <v/>
      </c>
      <c r="C32" s="38">
        <f>_xlfn.IFNA(INDEX('RD2 Shepherds'!$I$2:$I$143,MATCH(Men_5[[#This Row],[Rider]],'RD2 Shepherds'!$F$2:$F$143,0)),"")</f>
        <v>294</v>
      </c>
      <c r="D32" s="38" t="str">
        <f>_xlfn.IFNA(INDEX('RD3 XCO Sheps'!$I$2:$I$190,MATCH(Men_5[[#This Row],[Rider]],'RD3 XCO Sheps'!$F$2:$F$190,0)),"")</f>
        <v/>
      </c>
      <c r="E32" s="38">
        <f>_xlfn.IFNA(INDEX('RD4 Ohalloran'!$I$2:$I$180,MATCH(Men_5[[#This Row],[Rider]],'RD4 Ohalloran'!$F$2:$F$180,0)),"")</f>
        <v>250</v>
      </c>
      <c r="F32" s="38">
        <f>_xlfn.IFNA(INDEX('RD5 Craigburn'!$I$2:$I$164,MATCH(Men_5[[#This Row],[Rider]],'RD5 Craigburn'!$F$2:$F$164,0)),"")</f>
        <v>251.99999999999997</v>
      </c>
      <c r="G32" s="38" t="str">
        <f>_xlfn.IFNA(INDEX('RD6 Kinchina'!$I$2:$I$200,MATCH(Men_5[[#This Row],[Rider]],'RD6 Kinchina'!$F$2:$F$200,0)),"")</f>
        <v/>
      </c>
      <c r="H32" s="38" t="str">
        <f>_xlfn.IFNA(INDEX('RD7 O''Hallaron'!$I$2:$I$190,MATCH(Men_5[[#This Row],[Rider]],'RD7 O''Hallaron'!$F$2:$F$201,0)),"")</f>
        <v/>
      </c>
      <c r="I32" s="38" t="str">
        <f>_xlfn.IFNA(INDEX('RD8 Fox Creek'!$I$2:$I$204,MATCH(Men_5[[#This Row],[Rider]],'RD8 Fox Creek'!$F$2:$F$204,0)),"")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3</v>
      </c>
      <c r="L32" s="59">
        <f>3-COUNTBLANK(Men_5[[#This Row],[RD1 XCC Eagle]:[RD3 XCO Sheps]])</f>
        <v>1</v>
      </c>
      <c r="M32" s="59">
        <f>4-COUNTBLANK(Men_5[[#This Row],[RD4 XCO Ohal]:[RD7 XCO O''Halloran]])</f>
        <v>2</v>
      </c>
      <c r="N32" s="59">
        <f>2-COUNTBLANK(Men_5[[#This Row],[RD8 XCO Fox Creek]:[RD9 XCO Willowie]])</f>
        <v>0</v>
      </c>
      <c r="O32" s="59" cm="1">
        <f t="array" ref="O32">IF(Men_5[[#This Row],[Number of Rounds]]&lt;=6,SUM(IF(ISNA(B32:J32),0,B32:J32)),SUM(LARGE(B32:J32,{1,2,3,4,5,6})))</f>
        <v>796</v>
      </c>
      <c r="P32" s="59" cm="1">
        <f t="array" ref="P32">IF(Men_5[[#This Row],[Number of Rounds XCM]]&lt;=3,SUM(IF(ISNA(E32:H32),0,E32:H32)),SUM(LARGE(E32:H32,{1,2,3})))</f>
        <v>502</v>
      </c>
      <c r="Q32" s="59">
        <f>SUM(Men_5[[#This Row],[RD8 XCO Fox Creek]:[RD9 XCO Willowie]])</f>
        <v>0</v>
      </c>
      <c r="R32" s="59">
        <f>Men_5[[#This Row],[Best 6 of 8 Overall]]+Men_5[[#This Row],[Best 3 of 4 XCM]]+Men_5[[#This Row],[Total of 2 XCO]]</f>
        <v>1298</v>
      </c>
      <c r="S32" s="134" cm="1">
        <f t="array" ref="S32">68-SUM(IF(O32&gt;$O$18:$O$212,1/COUNTIF($O$18:$O$212,$O$18:$O$212)))</f>
        <v>12.999999999999822</v>
      </c>
      <c r="T32" s="18"/>
      <c r="U32" s="103" t="s">
        <v>299</v>
      </c>
      <c r="V32" s="77" t="str">
        <f>_xlfn.IFNA(INDEX('RD1 Eagle'!$I$2:$I$154,MATCH(Women6[[#This Row],[Rider]],'RD1 Eagle'!$F$2:$F$154,0)),"")</f>
        <v/>
      </c>
      <c r="W32" s="38" t="str">
        <f>_xlfn.IFNA(INDEX('RD2 Shepherds'!$I$2:$I$143,MATCH(Women6[[#This Row],[Rider]],'RD2 Shepherds'!$F$2:$F$143,0)),"")</f>
        <v/>
      </c>
      <c r="X32" s="34" t="str">
        <f>_xlfn.IFNA(INDEX('RD3 XCO Sheps'!$I$2:$I$190,MATCH(Women6[[#This Row],[Rider]],'RD3 XCO Sheps'!$F$2:$F$190,0)),"")</f>
        <v/>
      </c>
      <c r="Y32" s="34" t="str">
        <f>_xlfn.IFNA(INDEX('RD4 Ohalloran'!$I$2:$I$184,MATCH(Women6[[#This Row],[Rider]],'RD4 Ohalloran'!$F$2:$F$184,0)),"")</f>
        <v/>
      </c>
      <c r="Z32" s="34">
        <f>_xlfn.IFNA(INDEX('RD5 Craigburn'!$I$2:$I$164,MATCH(Women6[[#This Row],[Rider]],'RD5 Craigburn'!$F$2:$F$164,0)),"")</f>
        <v>420</v>
      </c>
      <c r="AA32" s="34" t="str">
        <f>_xlfn.IFNA(INDEX('RD6 Kinchina'!$I$2:$I$199,MATCH(Women6[[#This Row],[Rider]],'RD6 Kinchina'!$F$2:$F$199,0)),"")</f>
        <v/>
      </c>
      <c r="AB32" s="34" t="str">
        <f>_xlfn.IFNA(INDEX('RD7 O''Hallaron'!$I$2:$I$190,MATCH(Women6[[#This Row],[Rider]],'RD7 O''Hallaron'!$F$2:$F$201,0)),"")</f>
        <v/>
      </c>
      <c r="AC32" s="34" t="str">
        <f>_xlfn.IFNA(INDEX('RD8 Fox Creek'!$I$2:$I$204,MATCH(Women6[[#This Row],[Rider]],'RD8 Fox Creek'!$F$2:$F$204,0)),"")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1</v>
      </c>
      <c r="AF32" s="57">
        <f>3-COUNTBLANK(Women6[[#This Row],[RD1 XCC Eagle]:[RD3 XCO Sheps]])</f>
        <v>0</v>
      </c>
      <c r="AG32" s="57">
        <f>4-COUNTBLANK(Women6[[#This Row],[RD4 XCO Ohal]:[RD7 XCO O''Halloran]])</f>
        <v>1</v>
      </c>
      <c r="AH32" s="57">
        <f>2-COUNTBLANK(Women6[[#This Row],[RD8 XCO Fox Creek]:[RD9 XCO Willowie]])</f>
        <v>0</v>
      </c>
      <c r="AI32" s="57" cm="1">
        <f t="array" ref="AI32">IF(Women6[[#This Row],[Number of Rounds]]&lt;=6,SUM(IF(ISNA(V32:AD32),0,V32:AD32)),SUM(LARGE(V32:AD32,{1,2,3,4,5,6})))</f>
        <v>420</v>
      </c>
      <c r="AJ32" s="57" cm="1">
        <f t="array" ref="AJ32">IF(Women6[[#This Row],[Number of XCM Rounds]]&lt;=3,SUM(IF(ISNA(Y32:AB32),0,Y32:AB32)),SUM(LARGE(Y32:AB32,{1,2,3})))</f>
        <v>420</v>
      </c>
      <c r="AK32" s="57">
        <f>SUM(Women6[[#This Row],[RD8 XCO Fox Creek]:[RD9 XCO Willowie]])</f>
        <v>0</v>
      </c>
      <c r="AL32" s="57">
        <f>Women6[[#This Row],[Best 3 of 4 XCM]]+Women6[[#This Row],[Best 6 of 8 Overall]]+Women6[[#This Row],[Total of 2 XCO]]</f>
        <v>840</v>
      </c>
      <c r="AM32" s="134" cm="1">
        <f t="array" ref="AM32">29-SUM(IF(AI32&gt;$AI$18:$AI$52,1/COUNTIF($AI$18:$AI$52,$AI$18:$AI$52)))</f>
        <v>15.000000000000004</v>
      </c>
      <c r="AN32" s="18"/>
      <c r="AO32" s="103" t="s">
        <v>175</v>
      </c>
      <c r="AP32" s="69">
        <f>_xlfn.IFNA(INDEX('RD1 Eagle'!$I$2:$I$154,MATCH(Junior7[[#This Row],[Rider]],'RD1 Eagle'!$F$2:$F$154,0)),"")</f>
        <v>500</v>
      </c>
      <c r="AQ32" s="69" t="str">
        <f>_xlfn.IFNA(INDEX('RD2 Shepherds'!$I$2:$I$143,MATCH(Junior7[[#This Row],[Rider]],'RD2 Shepherds'!$F$2:$F$143,0)),"")</f>
        <v/>
      </c>
      <c r="AR32" s="34" t="str">
        <f>_xlfn.IFNA(INDEX('RD3 XCO Sheps'!$I$2:$I$190,MATCH(Junior7[[#This Row],[Rider]],'RD3 XCO Sheps'!$F$2:$F$190,0)),"")</f>
        <v/>
      </c>
      <c r="AS32" s="34">
        <f>_xlfn.IFNA(INDEX('RD4 Ohalloran'!$I$2:$I$184,MATCH(Junior7[[#This Row],[Rider]],'RD4 Ohalloran'!$F$2:$F$184,0)),"")</f>
        <v>250</v>
      </c>
      <c r="AT32" s="34" t="str">
        <f>_xlfn.IFNA(INDEX('RD5 Craigburn'!$I$2:$I$168,MATCH(Junior7[[#This Row],[Rider]],'RD5 Craigburn'!$F$2:$F$168,0)),"")</f>
        <v/>
      </c>
      <c r="AU32" s="57" t="str">
        <f>_xlfn.IFNA(INDEX('RD6 Kinchina'!$I$2:$I$199,MATCH(Junior7[[#This Row],[Rider]],'RD6 Kinchina'!$F$2:$F$199,0)),"")</f>
        <v/>
      </c>
      <c r="AV32" s="57" t="str">
        <f>_xlfn.IFNA(INDEX('RD7 O''Hallaron'!$I$2:$I$190,MATCH(Junior7[[#This Row],[Rider]],'RD7 O''Hallaron'!$F$2:$F$201,0)),"")</f>
        <v/>
      </c>
      <c r="AW32" s="57" t="str">
        <f>_xlfn.IFNA(INDEX('RD8 Fox Creek'!$I$2:$I$204,MATCH(Junior7[[#This Row],[Rider]],'RD8 Fox Creek'!$F$2:$F$204,0)),"")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XCO Sheps]])</f>
        <v>1</v>
      </c>
      <c r="BA32" s="24">
        <f>4-COUNTBLANK(Junior7[[#This Row],[RD4 XCO Ohal]:[RD7 XCO O''Halloran]])</f>
        <v>1</v>
      </c>
      <c r="BB32" s="24">
        <f>2-COUNTBLANK(Junior7[[#This Row],[RD8 XCO Fox Creek]:[RD9 XCO Willowie]])</f>
        <v>0</v>
      </c>
      <c r="BC32" s="34" cm="1">
        <f t="array" ref="BC32">IF(Junior7[[#This Row],[Number of Rounds]]&lt;=6,SUM(IF(ISNA(AP32:AX32),0,AP32:AX32)),SUM(LARGE(AP32:AX32,{1,2,3,4,5,6})))</f>
        <v>750</v>
      </c>
      <c r="BD32" s="24" cm="1">
        <f t="array" ref="BD32">IF(Junior7[[#This Row],[Number of XCM Rounds]]&lt;=3,SUM(IF(ISNA(AS32:AV32),0,AS32:AV32)),SUM(LARGE(AS32:AV32,{1,2,3})))</f>
        <v>250</v>
      </c>
      <c r="BE32" s="24">
        <f>SUM(Junior7[[#This Row],[RD8 XCO Fox Creek]:[RD9 XCO Willowie]])</f>
        <v>0</v>
      </c>
      <c r="BF32" s="23">
        <f>Junior7[[#This Row],[Best 3 of 4 XCM]]+Junior7[[#This Row],[Best 6 of 8 Overall]]+Junior7[[#This Row],[Total of 2 XCO]]</f>
        <v>1000</v>
      </c>
      <c r="BG32" s="37" cm="1">
        <f t="array" ref="BG32">23-SUM(IF(BC32&gt;$BC$18:$BC$71,1/COUNTIF($BC$18:$BC$71,$BC$18:$BC$71)))</f>
        <v>15.000000000000005</v>
      </c>
      <c r="BH32" s="18"/>
    </row>
    <row r="33" spans="1:60" ht="16" x14ac:dyDescent="0.2">
      <c r="A33" s="103" t="s">
        <v>221</v>
      </c>
      <c r="B33" s="38" t="str">
        <f>_xlfn.IFNA(INDEX('RD1 Eagle'!$I$2:$I$154,MATCH(Men_5[[#This Row],[Rider]],'RD1 Eagle'!$F$2:$F$154,0)),"")</f>
        <v/>
      </c>
      <c r="C33" s="38">
        <f>_xlfn.IFNA(INDEX('RD2 Shepherds'!$I$2:$I$143,MATCH(Men_5[[#This Row],[Rider]],'RD2 Shepherds'!$F$2:$F$143,0)),"")</f>
        <v>420</v>
      </c>
      <c r="D33" s="38" t="str">
        <f>_xlfn.IFNA(INDEX('RD3 XCO Sheps'!$I$2:$I$190,MATCH(Men_5[[#This Row],[Rider]],'RD3 XCO Sheps'!$F$2:$F$190,0)),"")</f>
        <v/>
      </c>
      <c r="E33" s="38">
        <f>_xlfn.IFNA(INDEX('RD4 Ohalloran'!$I$2:$I$180,MATCH(Men_5[[#This Row],[Rider]],'RD4 Ohalloran'!$F$2:$F$180,0)),"")</f>
        <v>370</v>
      </c>
      <c r="F33" s="38" t="str">
        <f>_xlfn.IFNA(INDEX('RD5 Craigburn'!$I$2:$I$164,MATCH(Men_5[[#This Row],[Rider]],'RD5 Craigburn'!$F$2:$F$164,0)),"")</f>
        <v/>
      </c>
      <c r="G33" s="38" t="str">
        <f>_xlfn.IFNA(INDEX('RD6 Kinchina'!$I$2:$I$200,MATCH(Men_5[[#This Row],[Rider]],'RD6 Kinchina'!$F$2:$F$200,0)),"")</f>
        <v/>
      </c>
      <c r="H33" s="38" t="str">
        <f>_xlfn.IFNA(INDEX('RD7 O''Hallaron'!$I$2:$I$190,MATCH(Men_5[[#This Row],[Rider]],'RD7 O''Hallaron'!$F$2:$F$201,0)),"")</f>
        <v/>
      </c>
      <c r="I33" s="38" t="str">
        <f>_xlfn.IFNA(INDEX('RD8 Fox Creek'!$I$2:$I$204,MATCH(Men_5[[#This Row],[Rider]],'RD8 Fox Creek'!$F$2:$F$204,0)),"")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2</v>
      </c>
      <c r="L33" s="59">
        <f>3-COUNTBLANK(Men_5[[#This Row],[RD1 XCC Eagle]:[RD3 XCO Sheps]])</f>
        <v>1</v>
      </c>
      <c r="M33" s="59">
        <f>4-COUNTBLANK(Men_5[[#This Row],[RD4 XCO Ohal]:[RD7 XCO O''Halloran]])</f>
        <v>1</v>
      </c>
      <c r="N33" s="59">
        <f>2-COUNTBLANK(Men_5[[#This Row],[RD8 XCO Fox Creek]:[RD9 XCO Willowie]])</f>
        <v>0</v>
      </c>
      <c r="O33" s="59" cm="1">
        <f t="array" ref="O33">IF(Men_5[[#This Row],[Number of Rounds]]&lt;=6,SUM(IF(ISNA(B33:J33),0,B33:J33)),SUM(LARGE(B33:J33,{1,2,3,4,5,6})))</f>
        <v>790</v>
      </c>
      <c r="P33" s="59" cm="1">
        <f t="array" ref="P33">IF(Men_5[[#This Row],[Number of Rounds XCM]]&lt;=3,SUM(IF(ISNA(E33:H33),0,E33:H33)),SUM(LARGE(E33:H33,{1,2,3})))</f>
        <v>370</v>
      </c>
      <c r="Q33" s="59">
        <f>SUM(Men_5[[#This Row],[RD8 XCO Fox Creek]:[RD9 XCO Willowie]])</f>
        <v>0</v>
      </c>
      <c r="R33" s="59">
        <f>Men_5[[#This Row],[Best 6 of 8 Overall]]+Men_5[[#This Row],[Best 3 of 4 XCM]]+Men_5[[#This Row],[Total of 2 XCO]]</f>
        <v>1160</v>
      </c>
      <c r="S33" s="134" cm="1">
        <f t="array" ref="S33">68-SUM(IF(O33&gt;$O$18:$O$212,1/COUNTIF($O$18:$O$212,$O$18:$O$212)))</f>
        <v>13.999999999999822</v>
      </c>
      <c r="T33" s="18"/>
      <c r="U33" s="103" t="s">
        <v>244</v>
      </c>
      <c r="V33" s="77" t="str">
        <f>_xlfn.IFNA(INDEX('RD1 Eagle'!$I$2:$I$154,MATCH(Women6[[#This Row],[Rider]],'RD1 Eagle'!$F$2:$F$154,0)),"")</f>
        <v/>
      </c>
      <c r="W33" s="38">
        <f>_xlfn.IFNA(INDEX('RD2 Shepherds'!$I$2:$I$143,MATCH(Women6[[#This Row],[Rider]],'RD2 Shepherds'!$F$2:$F$143,0)),"")</f>
        <v>420</v>
      </c>
      <c r="X33" s="34" t="str">
        <f>_xlfn.IFNA(INDEX('RD3 XCO Sheps'!$I$2:$I$190,MATCH(Women6[[#This Row],[Rider]],'RD3 XCO Sheps'!$F$2:$F$190,0)),"")</f>
        <v/>
      </c>
      <c r="Y33" s="34" t="str">
        <f>_xlfn.IFNA(INDEX('RD4 Ohalloran'!$I$2:$I$184,MATCH(Women6[[#This Row],[Rider]],'RD4 Ohalloran'!$F$2:$F$184,0)),"")</f>
        <v/>
      </c>
      <c r="Z33" s="34" t="str">
        <f>_xlfn.IFNA(INDEX('RD5 Craigburn'!$I$2:$I$164,MATCH(Women6[[#This Row],[Rider]],'RD5 Craigburn'!$F$2:$F$164,0)),"")</f>
        <v/>
      </c>
      <c r="AA33" s="34" t="str">
        <f>_xlfn.IFNA(INDEX('RD6 Kinchina'!$I$2:$I$199,MATCH(Women6[[#This Row],[Rider]],'RD6 Kinchina'!$F$2:$F$199,0)),"")</f>
        <v/>
      </c>
      <c r="AB33" s="34" t="str">
        <f>_xlfn.IFNA(INDEX('RD7 O''Hallaron'!$I$2:$I$190,MATCH(Women6[[#This Row],[Rider]],'RD7 O''Hallaron'!$F$2:$F$201,0)),"")</f>
        <v/>
      </c>
      <c r="AC33" s="34" t="str">
        <f>_xlfn.IFNA(INDEX('RD8 Fox Creek'!$I$2:$I$204,MATCH(Women6[[#This Row],[Rider]],'RD8 Fox Creek'!$F$2:$F$204,0)),"")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1</v>
      </c>
      <c r="AG33" s="57">
        <f>4-COUNTBLANK(Women6[[#This Row],[RD4 XCO Ohal]:[RD7 XCO O''Halloran]])</f>
        <v>0</v>
      </c>
      <c r="AH33" s="57">
        <f>2-COUNTBLANK(Women6[[#This Row],[RD8 XCO Fox Creek]:[RD9 XCO Willowie]])</f>
        <v>0</v>
      </c>
      <c r="AI33" s="57" cm="1">
        <f t="array" ref="AI33">IF(Women6[[#This Row],[Number of Rounds]]&lt;=6,SUM(IF(ISNA(V33:AD33),0,V33:AD33)),SUM(LARGE(V33:AD33,{1,2,3,4,5,6})))</f>
        <v>420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Fox Creek]:[RD9 XCO Willowie]])</f>
        <v>0</v>
      </c>
      <c r="AL33" s="57">
        <f>Women6[[#This Row],[Best 3 of 4 XCM]]+Women6[[#This Row],[Best 6 of 8 Overall]]+Women6[[#This Row],[Total of 2 XCO]]</f>
        <v>420</v>
      </c>
      <c r="AM33" s="134" cm="1">
        <f t="array" ref="AM33">29-SUM(IF(AI33&gt;$AI$18:$AI$52,1/COUNTIF($AI$18:$AI$52,$AI$18:$AI$52)))</f>
        <v>15.000000000000004</v>
      </c>
      <c r="AN33" s="18"/>
      <c r="AO33" s="103" t="s">
        <v>214</v>
      </c>
      <c r="AP33" s="69">
        <f>_xlfn.IFNA(INDEX('RD1 Eagle'!$I$2:$I$154,MATCH(Junior7[[#This Row],[Rider]],'RD1 Eagle'!$F$2:$F$154,0)),"")</f>
        <v>450</v>
      </c>
      <c r="AQ33" s="69" t="str">
        <f>_xlfn.IFNA(INDEX('RD2 Shepherds'!$I$2:$I$143,MATCH(Junior7[[#This Row],[Rider]],'RD2 Shepherds'!$F$2:$F$143,0)),"")</f>
        <v/>
      </c>
      <c r="AR33" s="34" t="str">
        <f>_xlfn.IFNA(INDEX('RD3 XCO Sheps'!$I$2:$I$190,MATCH(Junior7[[#This Row],[Rider]],'RD3 XCO Sheps'!$F$2:$F$190,0)),"")</f>
        <v/>
      </c>
      <c r="AS33" s="34" t="str">
        <f>_xlfn.IFNA(INDEX('RD4 Ohalloran'!$I$2:$I$184,MATCH(Junior7[[#This Row],[Rider]],'RD4 Ohalloran'!$F$2:$F$184,0)),"")</f>
        <v/>
      </c>
      <c r="AT33" s="34" t="str">
        <f>_xlfn.IFNA(INDEX('RD5 Craigburn'!$I$2:$I$168,MATCH(Junior7[[#This Row],[Rider]],'RD5 Craigburn'!$F$2:$F$168,0)),"")</f>
        <v/>
      </c>
      <c r="AU33" s="57" t="str">
        <f>_xlfn.IFNA(INDEX('RD6 Kinchina'!$I$2:$I$199,MATCH(Junior7[[#This Row],[Rider]],'RD6 Kinchina'!$F$2:$F$199,0)),"")</f>
        <v/>
      </c>
      <c r="AV33" s="57" t="str">
        <f>_xlfn.IFNA(INDEX('RD7 O''Hallaron'!$I$2:$I$190,MATCH(Junior7[[#This Row],[Rider]],'RD7 O''Hallaron'!$F$2:$F$201,0)),"")</f>
        <v/>
      </c>
      <c r="AW33" s="57" t="str">
        <f>_xlfn.IFNA(INDEX('RD8 Fox Creek'!$I$2:$I$204,MATCH(Junior7[[#This Row],[Rider]],'RD8 Fox Creek'!$F$2:$F$204,0)),"")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1</v>
      </c>
      <c r="AZ33" s="24">
        <f>3-COUNTBLANK(Junior7[[#This Row],[RD1 XCC Eagle]:[RD3 XCO Sheps]])</f>
        <v>1</v>
      </c>
      <c r="BA33" s="24">
        <f>4-COUNTBLANK(Junior7[[#This Row],[RD4 XCO Ohal]:[RD7 XCO O''Halloran]])</f>
        <v>0</v>
      </c>
      <c r="BB33" s="24">
        <f>2-COUNTBLANK(Junior7[[#This Row],[RD8 XCO Fox Creek]:[RD9 XCO Willowie]])</f>
        <v>0</v>
      </c>
      <c r="BC33" s="34" cm="1">
        <f t="array" ref="BC33">IF(Junior7[[#This Row],[Number of Rounds]]&lt;=6,SUM(IF(ISNA(AP33:AX33),0,AP33:AX33)),SUM(LARGE(AP33:AX33,{1,2,3,4,5,6})))</f>
        <v>450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Fox Creek]:[RD9 XCO Willowie]])</f>
        <v>0</v>
      </c>
      <c r="BF33" s="23">
        <f>Junior7[[#This Row],[Best 3 of 4 XCM]]+Junior7[[#This Row],[Best 6 of 8 Overall]]+Junior7[[#This Row],[Total of 2 XCO]]</f>
        <v>450</v>
      </c>
      <c r="BG33" s="37" cm="1">
        <f t="array" ref="BG33">23-SUM(IF(BC33&gt;$BC$18:$BC$71,1/COUNTIF($BC$18:$BC$71,$BC$18:$BC$71)))</f>
        <v>16.000000000000007</v>
      </c>
      <c r="BH33" s="18"/>
    </row>
    <row r="34" spans="1:60" ht="16" x14ac:dyDescent="0.2">
      <c r="A34" s="103" t="s">
        <v>201</v>
      </c>
      <c r="B34" s="38">
        <f>_xlfn.IFNA(INDEX('RD1 Eagle'!$I$2:$I$154,MATCH(Men_5[[#This Row],[Rider]],'RD1 Eagle'!$F$2:$F$154,0)),"")</f>
        <v>375</v>
      </c>
      <c r="C34" s="38">
        <f>_xlfn.IFNA(INDEX('RD2 Shepherds'!$I$2:$I$143,MATCH(Men_5[[#This Row],[Rider]],'RD2 Shepherds'!$F$2:$F$143,0)),"")</f>
        <v>390</v>
      </c>
      <c r="D34" s="38" t="str">
        <f>_xlfn.IFNA(INDEX('RD3 XCO Sheps'!$I$2:$I$190,MATCH(Men_5[[#This Row],[Rider]],'RD3 XCO Sheps'!$F$2:$F$190,0)),"")</f>
        <v/>
      </c>
      <c r="E34" s="38" t="str">
        <f>_xlfn.IFNA(INDEX('RD4 Ohalloran'!$I$2:$I$180,MATCH(Men_5[[#This Row],[Rider]],'RD4 Ohalloran'!$F$2:$F$180,0)),"")</f>
        <v/>
      </c>
      <c r="F34" s="38" t="str">
        <f>_xlfn.IFNA(INDEX('RD5 Craigburn'!$I$2:$I$164,MATCH(Men_5[[#This Row],[Rider]],'RD5 Craigburn'!$F$2:$F$164,0)),"")</f>
        <v/>
      </c>
      <c r="G34" s="38" t="str">
        <f>_xlfn.IFNA(INDEX('RD6 Kinchina'!$I$2:$I$200,MATCH(Men_5[[#This Row],[Rider]],'RD6 Kinchina'!$F$2:$F$200,0)),"")</f>
        <v/>
      </c>
      <c r="H34" s="38" t="str">
        <f>_xlfn.IFNA(INDEX('RD7 O''Hallaron'!$I$2:$I$190,MATCH(Men_5[[#This Row],[Rider]],'RD7 O''Hallaron'!$F$2:$F$201,0)),"")</f>
        <v/>
      </c>
      <c r="I34" s="38" t="str">
        <f>_xlfn.IFNA(INDEX('RD8 Fox Creek'!$I$2:$I$204,MATCH(Men_5[[#This Row],[Rider]],'RD8 Fox Creek'!$F$2:$F$204,0)),"")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2</v>
      </c>
      <c r="L34" s="59">
        <f>3-COUNTBLANK(Men_5[[#This Row],[RD1 XCC Eagle]:[RD3 XCO Sheps]])</f>
        <v>2</v>
      </c>
      <c r="M34" s="59">
        <f>4-COUNTBLANK(Men_5[[#This Row],[RD4 XCO Ohal]:[RD7 XCO O''Halloran]])</f>
        <v>0</v>
      </c>
      <c r="N34" s="59">
        <f>2-COUNTBLANK(Men_5[[#This Row],[RD8 XCO Fox Creek]:[RD9 XCO Willowie]])</f>
        <v>0</v>
      </c>
      <c r="O34" s="59" cm="1">
        <f t="array" ref="O34">IF(Men_5[[#This Row],[Number of Rounds]]&lt;=6,SUM(IF(ISNA(B34:J34),0,B34:J34)),SUM(LARGE(B34:J34,{1,2,3,4,5,6})))</f>
        <v>765</v>
      </c>
      <c r="P34" s="59" cm="1">
        <f t="array" ref="P34">IF(Men_5[[#This Row],[Number of Rounds XCM]]&lt;=3,SUM(IF(ISNA(E34:H34),0,E34:H34)),SUM(LARGE(E34:H34,{1,2,3})))</f>
        <v>0</v>
      </c>
      <c r="Q34" s="59">
        <f>SUM(Men_5[[#This Row],[RD8 XCO Fox Creek]:[RD9 XCO Willowie]])</f>
        <v>0</v>
      </c>
      <c r="R34" s="59">
        <f>Men_5[[#This Row],[Best 6 of 8 Overall]]+Men_5[[#This Row],[Best 3 of 4 XCM]]+Men_5[[#This Row],[Total of 2 XCO]]</f>
        <v>765</v>
      </c>
      <c r="S34" s="134" cm="1">
        <f t="array" ref="S34">68-SUM(IF(O34&gt;$O$18:$O$212,1/COUNTIF($O$18:$O$212,$O$18:$O$212)))</f>
        <v>14.999999999999822</v>
      </c>
      <c r="T34" s="18"/>
      <c r="U34" s="103" t="s">
        <v>211</v>
      </c>
      <c r="V34" s="77">
        <f>_xlfn.IFNA(INDEX('RD1 Eagle'!$I$2:$I$154,MATCH(Women6[[#This Row],[Rider]],'RD1 Eagle'!$F$2:$F$154,0)),"")</f>
        <v>390</v>
      </c>
      <c r="W34" s="38" t="str">
        <f>_xlfn.IFNA(INDEX('RD2 Shepherds'!$I$2:$I$143,MATCH(Women6[[#This Row],[Rider]],'RD2 Shepherds'!$F$2:$F$143,0)),"")</f>
        <v/>
      </c>
      <c r="X34" s="34" t="str">
        <f>_xlfn.IFNA(INDEX('RD3 XCO Sheps'!$I$2:$I$190,MATCH(Women6[[#This Row],[Rider]],'RD3 XCO Sheps'!$F$2:$F$190,0)),"")</f>
        <v/>
      </c>
      <c r="Y34" s="34" t="str">
        <f>_xlfn.IFNA(INDEX('RD4 Ohalloran'!$I$2:$I$184,MATCH(Women6[[#This Row],[Rider]],'RD4 Ohalloran'!$F$2:$F$184,0)),"")</f>
        <v/>
      </c>
      <c r="Z34" s="34" t="str">
        <f>_xlfn.IFNA(INDEX('RD5 Craigburn'!$I$2:$I$164,MATCH(Women6[[#This Row],[Rider]],'RD5 Craigburn'!$F$2:$F$164,0)),"")</f>
        <v/>
      </c>
      <c r="AA34" s="34" t="str">
        <f>_xlfn.IFNA(INDEX('RD6 Kinchina'!$I$2:$I$199,MATCH(Women6[[#This Row],[Rider]],'RD6 Kinchina'!$F$2:$F$199,0)),"")</f>
        <v/>
      </c>
      <c r="AB34" s="34" t="str">
        <f>_xlfn.IFNA(INDEX('RD7 O''Hallaron'!$I$2:$I$190,MATCH(Women6[[#This Row],[Rider]],'RD7 O''Hallaron'!$F$2:$F$201,0)),"")</f>
        <v/>
      </c>
      <c r="AC34" s="34" t="str">
        <f>_xlfn.IFNA(INDEX('RD8 Fox Creek'!$I$2:$I$204,MATCH(Women6[[#This Row],[Rider]],'RD8 Fox Creek'!$F$2:$F$204,0)),"")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1</v>
      </c>
      <c r="AF34" s="57">
        <f>3-COUNTBLANK(Women6[[#This Row],[RD1 XCC Eagle]:[RD3 XCO Sheps]])</f>
        <v>1</v>
      </c>
      <c r="AG34" s="57">
        <f>4-COUNTBLANK(Women6[[#This Row],[RD4 XCO Ohal]:[RD7 XCO O''Halloran]])</f>
        <v>0</v>
      </c>
      <c r="AH34" s="57">
        <f>2-COUNTBLANK(Women6[[#This Row],[RD8 XCO Fox Creek]:[RD9 XCO Willowie]])</f>
        <v>0</v>
      </c>
      <c r="AI34" s="57" cm="1">
        <f t="array" ref="AI34">IF(Women6[[#This Row],[Number of Rounds]]&lt;=6,SUM(IF(ISNA(V34:AD34),0,V34:AD34)),SUM(LARGE(V34:AD34,{1,2,3,4,5,6})))</f>
        <v>390</v>
      </c>
      <c r="AJ34" s="57" cm="1">
        <f t="array" ref="AJ34">IF(Women6[[#This Row],[Number of XCM Rounds]]&lt;=3,SUM(IF(ISNA(Y34:AB34),0,Y34:AB34)),SUM(LARGE(Y34:AB34,{1,2,3})))</f>
        <v>0</v>
      </c>
      <c r="AK34" s="57">
        <f>SUM(Women6[[#This Row],[RD8 XCO Fox Creek]:[RD9 XCO Willowie]])</f>
        <v>0</v>
      </c>
      <c r="AL34" s="57">
        <f>Women6[[#This Row],[Best 3 of 4 XCM]]+Women6[[#This Row],[Best 6 of 8 Overall]]+Women6[[#This Row],[Total of 2 XCO]]</f>
        <v>390</v>
      </c>
      <c r="AM34" s="134" cm="1">
        <f t="array" ref="AM34">29-SUM(IF(AI34&gt;$AI$18:$AI$52,1/COUNTIF($AI$18:$AI$52,$AI$18:$AI$52)))</f>
        <v>16.000000000000004</v>
      </c>
      <c r="AN34" s="18"/>
      <c r="AO34" s="103" t="s">
        <v>260</v>
      </c>
      <c r="AP34" s="69" t="str">
        <f>_xlfn.IFNA(INDEX('RD1 Eagle'!$I$2:$I$154,MATCH(Junior7[[#This Row],[Rider]],'RD1 Eagle'!$F$2:$F$154,0)),"")</f>
        <v/>
      </c>
      <c r="AQ34" s="69">
        <f>_xlfn.IFNA(INDEX('RD2 Shepherds'!$I$2:$I$143,MATCH(Junior7[[#This Row],[Rider]],'RD2 Shepherds'!$F$2:$F$143,0)),"")</f>
        <v>420</v>
      </c>
      <c r="AR34" s="34" t="str">
        <f>_xlfn.IFNA(INDEX('RD3 XCO Sheps'!$I$2:$I$190,MATCH(Junior7[[#This Row],[Rider]],'RD3 XCO Sheps'!$F$2:$F$190,0)),"")</f>
        <v/>
      </c>
      <c r="AS34" s="34" t="str">
        <f>_xlfn.IFNA(INDEX('RD4 Ohalloran'!$I$2:$I$184,MATCH(Junior7[[#This Row],[Rider]],'RD4 Ohalloran'!$F$2:$F$184,0)),"")</f>
        <v/>
      </c>
      <c r="AT34" s="34" t="str">
        <f>_xlfn.IFNA(INDEX('RD5 Craigburn'!$I$2:$I$168,MATCH(Junior7[[#This Row],[Rider]],'RD5 Craigburn'!$F$2:$F$168,0)),"")</f>
        <v/>
      </c>
      <c r="AU34" s="57" t="str">
        <f>_xlfn.IFNA(INDEX('RD6 Kinchina'!$I$2:$I$199,MATCH(Junior7[[#This Row],[Rider]],'RD6 Kinchina'!$F$2:$F$199,0)),"")</f>
        <v/>
      </c>
      <c r="AV34" s="57" t="str">
        <f>_xlfn.IFNA(INDEX('RD7 O''Hallaron'!$I$2:$I$190,MATCH(Junior7[[#This Row],[Rider]],'RD7 O''Hallaron'!$F$2:$F$201,0)),"")</f>
        <v/>
      </c>
      <c r="AW34" s="57" t="str">
        <f>_xlfn.IFNA(INDEX('RD8 Fox Creek'!$I$2:$I$204,MATCH(Junior7[[#This Row],[Rider]],'RD8 Fox Creek'!$F$2:$F$204,0)),"")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1</v>
      </c>
      <c r="AZ34" s="24">
        <f>3-COUNTBLANK(Junior7[[#This Row],[RD1 XCC Eagle]:[RD3 XCO Sheps]])</f>
        <v>1</v>
      </c>
      <c r="BA34" s="24">
        <f>4-COUNTBLANK(Junior7[[#This Row],[RD4 XCO Ohal]:[RD7 XCO O''Halloran]])</f>
        <v>0</v>
      </c>
      <c r="BB34" s="24">
        <f>2-COUNTBLANK(Junior7[[#This Row],[RD8 XCO Fox Creek]:[RD9 XCO Willowie]])</f>
        <v>0</v>
      </c>
      <c r="BC34" s="34" cm="1">
        <f t="array" ref="BC34">IF(Junior7[[#This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Fox Creek]:[RD9 XCO Willowie]])</f>
        <v>0</v>
      </c>
      <c r="BF34" s="23">
        <f>Junior7[[#This Row],[Best 3 of 4 XCM]]+Junior7[[#This Row],[Best 6 of 8 Overall]]+Junior7[[#This Row],[Total of 2 XCO]]</f>
        <v>420</v>
      </c>
      <c r="BG34" s="37" cm="1">
        <f t="array" ref="BG34">23-SUM(IF(BC34&gt;$BC$18:$BC$71,1/COUNTIF($BC$18:$BC$71,$BC$18:$BC$71)))</f>
        <v>17.000000000000007</v>
      </c>
      <c r="BH34" s="18"/>
    </row>
    <row r="35" spans="1:60" ht="16" x14ac:dyDescent="0.2">
      <c r="A35" s="103" t="s">
        <v>222</v>
      </c>
      <c r="B35" s="38" t="str">
        <f>_xlfn.IFNA(INDEX('RD1 Eagle'!$I$2:$I$154,MATCH(Men_5[[#This Row],[Rider]],'RD1 Eagle'!$F$2:$F$154,0)),"")</f>
        <v/>
      </c>
      <c r="C35" s="38">
        <f>_xlfn.IFNA(INDEX('RD2 Shepherds'!$I$2:$I$143,MATCH(Men_5[[#This Row],[Rider]],'RD2 Shepherds'!$F$2:$F$143,0)),"")</f>
        <v>400</v>
      </c>
      <c r="D35" s="38" t="str">
        <f>_xlfn.IFNA(INDEX('RD3 XCO Sheps'!$I$2:$I$190,MATCH(Men_5[[#This Row],[Rider]],'RD3 XCO Sheps'!$F$2:$F$190,0)),"")</f>
        <v/>
      </c>
      <c r="E35" s="38">
        <f>_xlfn.IFNA(INDEX('RD4 Ohalloran'!$I$2:$I$180,MATCH(Men_5[[#This Row],[Rider]],'RD4 Ohalloran'!$F$2:$F$180,0)),"")</f>
        <v>360</v>
      </c>
      <c r="F35" s="38" t="str">
        <f>_xlfn.IFNA(INDEX('RD5 Craigburn'!$I$2:$I$164,MATCH(Men_5[[#This Row],[Rider]],'RD5 Craigburn'!$F$2:$F$164,0)),"")</f>
        <v/>
      </c>
      <c r="G35" s="38" t="str">
        <f>_xlfn.IFNA(INDEX('RD6 Kinchina'!$I$2:$I$200,MATCH(Men_5[[#This Row],[Rider]],'RD6 Kinchina'!$F$2:$F$200,0)),"")</f>
        <v/>
      </c>
      <c r="H35" s="38" t="str">
        <f>_xlfn.IFNA(INDEX('RD7 O''Hallaron'!$I$2:$I$190,MATCH(Men_5[[#This Row],[Rider]],'RD7 O''Hallaron'!$F$2:$F$201,0)),"")</f>
        <v/>
      </c>
      <c r="I35" s="38" t="str">
        <f>_xlfn.IFNA(INDEX('RD8 Fox Creek'!$I$2:$I$204,MATCH(Men_5[[#This Row],[Rider]],'RD8 Fox Creek'!$F$2:$F$204,0)),"")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2</v>
      </c>
      <c r="L35" s="59">
        <f>3-COUNTBLANK(Men_5[[#This Row],[RD1 XCC Eagle]:[RD3 XCO Sheps]])</f>
        <v>1</v>
      </c>
      <c r="M35" s="59">
        <f>4-COUNTBLANK(Men_5[[#This Row],[RD4 XCO Ohal]:[RD7 XCO O''Halloran]])</f>
        <v>1</v>
      </c>
      <c r="N35" s="59">
        <f>2-COUNTBLANK(Men_5[[#This Row],[RD8 XCO Fox Creek]:[RD9 XCO Willowie]])</f>
        <v>0</v>
      </c>
      <c r="O35" s="59" cm="1">
        <f t="array" ref="O35">IF(Men_5[[#This Row],[Number of Rounds]]&lt;=6,SUM(IF(ISNA(B35:J35),0,B35:J35)),SUM(LARGE(B35:J35,{1,2,3,4,5,6})))</f>
        <v>760</v>
      </c>
      <c r="P35" s="59" cm="1">
        <f t="array" ref="P35">IF(Men_5[[#This Row],[Number of Rounds XCM]]&lt;=3,SUM(IF(ISNA(E35:H35),0,E35:H35)),SUM(LARGE(E35:H35,{1,2,3})))</f>
        <v>360</v>
      </c>
      <c r="Q35" s="59">
        <f>SUM(Men_5[[#This Row],[RD8 XCO Fox Creek]:[RD9 XCO Willowie]])</f>
        <v>0</v>
      </c>
      <c r="R35" s="59">
        <f>Men_5[[#This Row],[Best 6 of 8 Overall]]+Men_5[[#This Row],[Best 3 of 4 XCM]]+Men_5[[#This Row],[Total of 2 XCO]]</f>
        <v>1120</v>
      </c>
      <c r="S35" s="134" cm="1">
        <f t="array" ref="S35">68-SUM(IF(O35&gt;$O$18:$O$212,1/COUNTIF($O$18:$O$212,$O$18:$O$212)))</f>
        <v>15.999999999999829</v>
      </c>
      <c r="T35" s="18"/>
      <c r="U35" s="103" t="s">
        <v>123</v>
      </c>
      <c r="V35" s="77">
        <f>_xlfn.IFNA(INDEX('RD1 Eagle'!$I$2:$I$154,MATCH(Women6[[#This Row],[Rider]],'RD1 Eagle'!$F$2:$F$154,0)),"")</f>
        <v>375</v>
      </c>
      <c r="W35" s="38" t="str">
        <f>_xlfn.IFNA(INDEX('RD2 Shepherds'!$I$2:$I$143,MATCH(Women6[[#This Row],[Rider]],'RD2 Shepherds'!$F$2:$F$143,0)),"")</f>
        <v/>
      </c>
      <c r="X35" s="34" t="str">
        <f>_xlfn.IFNA(INDEX('RD3 XCO Sheps'!$I$2:$I$190,MATCH(Women6[[#This Row],[Rider]],'RD3 XCO Sheps'!$F$2:$F$190,0)),"")</f>
        <v/>
      </c>
      <c r="Y35" s="34" t="str">
        <f>_xlfn.IFNA(INDEX('RD4 Ohalloran'!$I$2:$I$184,MATCH(Women6[[#This Row],[Rider]],'RD4 Ohalloran'!$F$2:$F$184,0)),"")</f>
        <v/>
      </c>
      <c r="Z35" s="34" t="str">
        <f>_xlfn.IFNA(INDEX('RD5 Craigburn'!$I$2:$I$164,MATCH(Women6[[#This Row],[Rider]],'RD5 Craigburn'!$F$2:$F$164,0)),"")</f>
        <v/>
      </c>
      <c r="AA35" s="34" t="str">
        <f>_xlfn.IFNA(INDEX('RD6 Kinchina'!$I$2:$I$199,MATCH(Women6[[#This Row],[Rider]],'RD6 Kinchina'!$F$2:$F$199,0)),"")</f>
        <v/>
      </c>
      <c r="AB35" s="34" t="str">
        <f>_xlfn.IFNA(INDEX('RD7 O''Hallaron'!$I$2:$I$190,MATCH(Women6[[#This Row],[Rider]],'RD7 O''Hallaron'!$F$2:$F$201,0)),"")</f>
        <v/>
      </c>
      <c r="AC35" s="34" t="str">
        <f>_xlfn.IFNA(INDEX('RD8 Fox Creek'!$I$2:$I$204,MATCH(Women6[[#This Row],[Rider]],'RD8 Fox Creek'!$F$2:$F$204,0)),"")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1</v>
      </c>
      <c r="AG35" s="57">
        <f>4-COUNTBLANK(Women6[[#This Row],[RD4 XCO Ohal]:[RD7 XCO O''Halloran]])</f>
        <v>0</v>
      </c>
      <c r="AH35" s="57">
        <f>2-COUNTBLANK(Women6[[#This Row],[RD8 XCO Fox Creek]:[RD9 XCO Willowie]])</f>
        <v>0</v>
      </c>
      <c r="AI35" s="57" cm="1">
        <f t="array" ref="AI35">IF(Women6[[#This Row],[Number of Rounds]]&lt;=6,SUM(IF(ISNA(V35:AD35),0,V35:AD35)),SUM(LARGE(V35:AD35,{1,2,3,4,5,6})))</f>
        <v>375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Fox Creek]:[RD9 XCO Willowie]])</f>
        <v>0</v>
      </c>
      <c r="AL35" s="57">
        <f>Women6[[#This Row],[Best 3 of 4 XCM]]+Women6[[#This Row],[Best 6 of 8 Overall]]+Women6[[#This Row],[Total of 2 XCO]]</f>
        <v>375</v>
      </c>
      <c r="AM35" s="134" cm="1">
        <f t="array" ref="AM35">29-SUM(IF(AI35&gt;$AI$18:$AI$52,1/COUNTIF($AI$18:$AI$52,$AI$18:$AI$52)))</f>
        <v>17.000000000000004</v>
      </c>
      <c r="AN35" s="18"/>
      <c r="AO35" s="103" t="s">
        <v>215</v>
      </c>
      <c r="AP35" s="69">
        <f>_xlfn.IFNA(INDEX('RD1 Eagle'!$I$2:$I$154,MATCH(Junior7[[#This Row],[Rider]],'RD1 Eagle'!$F$2:$F$154,0)),"")</f>
        <v>420</v>
      </c>
      <c r="AQ35" s="69" t="str">
        <f>_xlfn.IFNA(INDEX('RD2 Shepherds'!$I$2:$I$143,MATCH(Junior7[[#This Row],[Rider]],'RD2 Shepherds'!$F$2:$F$143,0)),"")</f>
        <v/>
      </c>
      <c r="AR35" s="34" t="str">
        <f>_xlfn.IFNA(INDEX('RD3 XCO Sheps'!$I$2:$I$190,MATCH(Junior7[[#This Row],[Rider]],'RD3 XCO Sheps'!$F$2:$F$190,0)),"")</f>
        <v/>
      </c>
      <c r="AS35" s="34" t="str">
        <f>_xlfn.IFNA(INDEX('RD4 Ohalloran'!$I$2:$I$184,MATCH(Junior7[[#This Row],[Rider]],'RD4 Ohalloran'!$F$2:$F$184,0)),"")</f>
        <v/>
      </c>
      <c r="AT35" s="34" t="str">
        <f>_xlfn.IFNA(INDEX('RD5 Craigburn'!$I$2:$I$168,MATCH(Junior7[[#This Row],[Rider]],'RD5 Craigburn'!$F$2:$F$168,0)),"")</f>
        <v/>
      </c>
      <c r="AU35" s="57" t="str">
        <f>_xlfn.IFNA(INDEX('RD6 Kinchina'!$I$2:$I$199,MATCH(Junior7[[#This Row],[Rider]],'RD6 Kinchina'!$F$2:$F$199,0)),"")</f>
        <v/>
      </c>
      <c r="AV35" s="57" t="str">
        <f>_xlfn.IFNA(INDEX('RD7 O''Hallaron'!$I$2:$I$190,MATCH(Junior7[[#This Row],[Rider]],'RD7 O''Hallaron'!$F$2:$F$201,0)),"")</f>
        <v/>
      </c>
      <c r="AW35" s="57" t="str">
        <f>_xlfn.IFNA(INDEX('RD8 Fox Creek'!$I$2:$I$204,MATCH(Junior7[[#This Row],[Rider]],'RD8 Fox Creek'!$F$2:$F$204,0)),"")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1</v>
      </c>
      <c r="BA35" s="24">
        <f>4-COUNTBLANK(Junior7[[#This Row],[RD4 XCO Ohal]:[RD7 XCO O''Halloran]])</f>
        <v>0</v>
      </c>
      <c r="BB35" s="24">
        <f>2-COUNTBLANK(Junior7[[#This Row],[RD8 XCO Fox Creek]:[RD9 XCO Willowie]])</f>
        <v>0</v>
      </c>
      <c r="BC35" s="34" cm="1">
        <f t="array" ref="BC35">IF(Junior7[[#This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Fox Creek]:[RD9 XCO Willowie]])</f>
        <v>0</v>
      </c>
      <c r="BF35" s="23">
        <f>Junior7[[#This Row],[Best 3 of 4 XCM]]+Junior7[[#This Row],[Best 6 of 8 Overall]]+Junior7[[#This Row],[Total of 2 XCO]]</f>
        <v>420</v>
      </c>
      <c r="BG35" s="37" cm="1">
        <f t="array" ref="BG35">23-SUM(IF(BC35&gt;$BC$18:$BC$71,1/COUNTIF($BC$18:$BC$71,$BC$18:$BC$71)))</f>
        <v>17.000000000000007</v>
      </c>
      <c r="BH35" s="18"/>
    </row>
    <row r="36" spans="1:60" ht="16" x14ac:dyDescent="0.2">
      <c r="A36" s="103" t="s">
        <v>208</v>
      </c>
      <c r="B36" s="38">
        <f>_xlfn.IFNA(INDEX('RD1 Eagle'!$I$2:$I$154,MATCH(Men_5[[#This Row],[Rider]],'RD1 Eagle'!$F$2:$F$154,0)),"")</f>
        <v>234</v>
      </c>
      <c r="C36" s="38">
        <f>_xlfn.IFNA(INDEX('RD2 Shepherds'!$I$2:$I$143,MATCH(Men_5[[#This Row],[Rider]],'RD2 Shepherds'!$F$2:$F$143,0)),"")</f>
        <v>270</v>
      </c>
      <c r="D36" s="38" t="str">
        <f>_xlfn.IFNA(INDEX('RD3 XCO Sheps'!$I$2:$I$190,MATCH(Men_5[[#This Row],[Rider]],'RD3 XCO Sheps'!$F$2:$F$190,0)),"")</f>
        <v/>
      </c>
      <c r="E36" s="38">
        <f>_xlfn.IFNA(INDEX('RD4 Ohalloran'!$I$2:$I$180,MATCH(Men_5[[#This Row],[Rider]],'RD4 Ohalloran'!$F$2:$F$180,0)),"")</f>
        <v>252</v>
      </c>
      <c r="F36" s="38" t="str">
        <f>_xlfn.IFNA(INDEX('RD5 Craigburn'!$I$2:$I$164,MATCH(Men_5[[#This Row],[Rider]],'RD5 Craigburn'!$F$2:$F$164,0)),"")</f>
        <v/>
      </c>
      <c r="G36" s="38" t="str">
        <f>_xlfn.IFNA(INDEX('RD6 Kinchina'!$I$2:$I$200,MATCH(Men_5[[#This Row],[Rider]],'RD6 Kinchina'!$F$2:$F$200,0)),"")</f>
        <v/>
      </c>
      <c r="H36" s="38" t="str">
        <f>_xlfn.IFNA(INDEX('RD7 O''Hallaron'!$I$2:$I$190,MATCH(Men_5[[#This Row],[Rider]],'RD7 O''Hallaron'!$F$2:$F$201,0)),"")</f>
        <v/>
      </c>
      <c r="I36" s="38" t="str">
        <f>_xlfn.IFNA(INDEX('RD8 Fox Creek'!$I$2:$I$204,MATCH(Men_5[[#This Row],[Rider]],'RD8 Fox Creek'!$F$2:$F$204,0)),"")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3</v>
      </c>
      <c r="L36" s="59">
        <f>3-COUNTBLANK(Men_5[[#This Row],[RD1 XCC Eagle]:[RD3 XCO Sheps]])</f>
        <v>2</v>
      </c>
      <c r="M36" s="59">
        <f>4-COUNTBLANK(Men_5[[#This Row],[RD4 XCO Ohal]:[RD7 XCO O''Halloran]])</f>
        <v>1</v>
      </c>
      <c r="N36" s="59">
        <f>2-COUNTBLANK(Men_5[[#This Row],[RD8 XCO Fox Creek]:[RD9 XCO Willowie]])</f>
        <v>0</v>
      </c>
      <c r="O36" s="59" cm="1">
        <f t="array" ref="O36">IF(Men_5[[#This Row],[Number of Rounds]]&lt;=6,SUM(IF(ISNA(B36:J36),0,B36:J36)),SUM(LARGE(B36:J36,{1,2,3,4,5,6})))</f>
        <v>756</v>
      </c>
      <c r="P36" s="59" cm="1">
        <f t="array" ref="P36">IF(Men_5[[#This Row],[Number of Rounds XCM]]&lt;=3,SUM(IF(ISNA(E36:H36),0,E36:H36)),SUM(LARGE(E36:H36,{1,2,3})))</f>
        <v>252</v>
      </c>
      <c r="Q36" s="59">
        <f>SUM(Men_5[[#This Row],[RD8 XCO Fox Creek]:[RD9 XCO Willowie]])</f>
        <v>0</v>
      </c>
      <c r="R36" s="59">
        <f>Men_5[[#This Row],[Best 6 of 8 Overall]]+Men_5[[#This Row],[Best 3 of 4 XCM]]+Men_5[[#This Row],[Total of 2 XCO]]</f>
        <v>1008</v>
      </c>
      <c r="S36" s="134" cm="1">
        <f t="array" ref="S36">68-SUM(IF(O36&gt;$O$18:$O$212,1/COUNTIF($O$18:$O$212,$O$18:$O$212)))</f>
        <v>16.999999999999829</v>
      </c>
      <c r="T36" s="18"/>
      <c r="U36" s="103" t="s">
        <v>288</v>
      </c>
      <c r="V36" s="77" t="str">
        <f>_xlfn.IFNA(INDEX('RD1 Eagle'!$I$2:$I$154,MATCH(Women6[[#This Row],[Rider]],'RD1 Eagle'!$F$2:$F$154,0)),"")</f>
        <v/>
      </c>
      <c r="W36" s="38" t="str">
        <f>_xlfn.IFNA(INDEX('RD2 Shepherds'!$I$2:$I$143,MATCH(Women6[[#This Row],[Rider]],'RD2 Shepherds'!$F$2:$F$143,0)),"")</f>
        <v/>
      </c>
      <c r="X36" s="34" t="str">
        <f>_xlfn.IFNA(INDEX('RD3 XCO Sheps'!$I$2:$I$190,MATCH(Women6[[#This Row],[Rider]],'RD3 XCO Sheps'!$F$2:$F$190,0)),"")</f>
        <v/>
      </c>
      <c r="Y36" s="34">
        <f>_xlfn.IFNA(INDEX('RD4 Ohalloran'!$I$2:$I$184,MATCH(Women6[[#This Row],[Rider]],'RD4 Ohalloran'!$F$2:$F$184,0)),"")</f>
        <v>350</v>
      </c>
      <c r="Z36" s="34" t="str">
        <f>_xlfn.IFNA(INDEX('RD5 Craigburn'!$I$2:$I$164,MATCH(Women6[[#This Row],[Rider]],'RD5 Craigburn'!$F$2:$F$164,0)),"")</f>
        <v/>
      </c>
      <c r="AA36" s="34" t="str">
        <f>_xlfn.IFNA(INDEX('RD6 Kinchina'!$I$2:$I$199,MATCH(Women6[[#This Row],[Rider]],'RD6 Kinchina'!$F$2:$F$199,0)),"")</f>
        <v/>
      </c>
      <c r="AB36" s="34" t="str">
        <f>_xlfn.IFNA(INDEX('RD7 O''Hallaron'!$I$2:$I$190,MATCH(Women6[[#This Row],[Rider]],'RD7 O''Hallaron'!$F$2:$F$201,0)),"")</f>
        <v/>
      </c>
      <c r="AC36" s="34" t="str">
        <f>_xlfn.IFNA(INDEX('RD8 Fox Creek'!$I$2:$I$204,MATCH(Women6[[#This Row],[Rider]],'RD8 Fox Creek'!$F$2:$F$204,0)),"")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0</v>
      </c>
      <c r="AG36" s="57">
        <f>4-COUNTBLANK(Women6[[#This Row],[RD4 XCO Ohal]:[RD7 XCO O''Halloran]])</f>
        <v>1</v>
      </c>
      <c r="AH36" s="57">
        <f>2-COUNTBLANK(Women6[[#This Row],[RD8 XCO Fox Creek]:[RD9 XCO Willowie]])</f>
        <v>0</v>
      </c>
      <c r="AI36" s="57" cm="1">
        <f t="array" ref="AI36">IF(Women6[[#This Row],[Number of Rounds]]&lt;=6,SUM(IF(ISNA(V36:AD36),0,V36:AD36)),SUM(LARGE(V36:AD36,{1,2,3,4,5,6})))</f>
        <v>350</v>
      </c>
      <c r="AJ36" s="57" cm="1">
        <f t="array" ref="AJ36">IF(Women6[[#This Row],[Number of XCM Rounds]]&lt;=3,SUM(IF(ISNA(Y36:AB36),0,Y36:AB36)),SUM(LARGE(Y36:AB36,{1,2,3})))</f>
        <v>350</v>
      </c>
      <c r="AK36" s="57">
        <f>SUM(Women6[[#This Row],[RD8 XCO Fox Creek]:[RD9 XCO Willowie]])</f>
        <v>0</v>
      </c>
      <c r="AL36" s="57">
        <f>Women6[[#This Row],[Best 3 of 4 XCM]]+Women6[[#This Row],[Best 6 of 8 Overall]]+Women6[[#This Row],[Total of 2 XCO]]</f>
        <v>700</v>
      </c>
      <c r="AM36" s="134" cm="1">
        <f t="array" ref="AM36">29-SUM(IF(AI36&gt;$AI$18:$AI$52,1/COUNTIF($AI$18:$AI$52,$AI$18:$AI$52)))</f>
        <v>18.000000000000004</v>
      </c>
      <c r="AN36" s="18"/>
      <c r="AO36" s="103" t="s">
        <v>219</v>
      </c>
      <c r="AP36" s="69">
        <f>_xlfn.IFNA(INDEX('RD1 Eagle'!$I$2:$I$154,MATCH(Junior7[[#This Row],[Rider]],'RD1 Eagle'!$F$2:$F$154,0)),"")</f>
        <v>400</v>
      </c>
      <c r="AQ36" s="69" t="str">
        <f>_xlfn.IFNA(INDEX('RD2 Shepherds'!$I$2:$I$143,MATCH(Junior7[[#This Row],[Rider]],'RD2 Shepherds'!$F$2:$F$143,0)),"")</f>
        <v/>
      </c>
      <c r="AR36" s="34" t="str">
        <f>_xlfn.IFNA(INDEX('RD3 XCO Sheps'!$I$2:$I$190,MATCH(Junior7[[#This Row],[Rider]],'RD3 XCO Sheps'!$F$2:$F$190,0)),"")</f>
        <v/>
      </c>
      <c r="AS36" s="34" t="str">
        <f>_xlfn.IFNA(INDEX('RD4 Ohalloran'!$I$2:$I$184,MATCH(Junior7[[#This Row],[Rider]],'RD4 Ohalloran'!$F$2:$F$184,0)),"")</f>
        <v/>
      </c>
      <c r="AT36" s="34" t="str">
        <f>_xlfn.IFNA(INDEX('RD5 Craigburn'!$I$2:$I$168,MATCH(Junior7[[#This Row],[Rider]],'RD5 Craigburn'!$F$2:$F$168,0)),"")</f>
        <v/>
      </c>
      <c r="AU36" s="57" t="str">
        <f>_xlfn.IFNA(INDEX('RD6 Kinchina'!$I$2:$I$199,MATCH(Junior7[[#This Row],[Rider]],'RD6 Kinchina'!$F$2:$F$199,0)),"")</f>
        <v/>
      </c>
      <c r="AV36" s="57" t="str">
        <f>_xlfn.IFNA(INDEX('RD7 O''Hallaron'!$I$2:$I$190,MATCH(Junior7[[#This Row],[Rider]],'RD7 O''Hallaron'!$F$2:$F$201,0)),"")</f>
        <v/>
      </c>
      <c r="AW36" s="57" t="str">
        <f>_xlfn.IFNA(INDEX('RD8 Fox Creek'!$I$2:$I$204,MATCH(Junior7[[#This Row],[Rider]],'RD8 Fox Creek'!$F$2:$F$204,0)),"")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1</v>
      </c>
      <c r="BA36" s="24">
        <f>4-COUNTBLANK(Junior7[[#This Row],[RD4 XCO Ohal]:[RD7 XCO O''Halloran]])</f>
        <v>0</v>
      </c>
      <c r="BB36" s="24">
        <f>2-COUNTBLANK(Junior7[[#This Row],[RD8 XCO Fox Creek]:[RD9 XCO Willowie]])</f>
        <v>0</v>
      </c>
      <c r="BC36" s="34" cm="1">
        <f t="array" ref="BC36">IF(Junior7[[#This Row],[Number of Rounds]]&lt;=6,SUM(IF(ISNA(AP36:AX36),0,AP36:AX36)),SUM(LARGE(AP36:AX36,{1,2,3,4,5,6})))</f>
        <v>400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Fox Creek]:[RD9 XCO Willowie]])</f>
        <v>0</v>
      </c>
      <c r="BF36" s="23">
        <f>Junior7[[#This Row],[Best 3 of 4 XCM]]+Junior7[[#This Row],[Best 6 of 8 Overall]]+Junior7[[#This Row],[Total of 2 XCO]]</f>
        <v>400</v>
      </c>
      <c r="BG36" s="37" cm="1">
        <f t="array" ref="BG36">23-SUM(IF(BC36&gt;$BC$18:$BC$71,1/COUNTIF($BC$18:$BC$71,$BC$18:$BC$71)))</f>
        <v>18.000000000000004</v>
      </c>
      <c r="BH36" s="18"/>
    </row>
    <row r="37" spans="1:60" ht="16" x14ac:dyDescent="0.2">
      <c r="A37" s="103" t="s">
        <v>233</v>
      </c>
      <c r="B37" s="38" t="str">
        <f>_xlfn.IFNA(INDEX('RD1 Eagle'!$I$2:$I$154,MATCH(Men_5[[#This Row],[Rider]],'RD1 Eagle'!$F$2:$F$154,0)),"")</f>
        <v/>
      </c>
      <c r="C37" s="38">
        <f>_xlfn.IFNA(INDEX('RD2 Shepherds'!$I$2:$I$143,MATCH(Men_5[[#This Row],[Rider]],'RD2 Shepherds'!$F$2:$F$143,0)),"")</f>
        <v>237.99999999999997</v>
      </c>
      <c r="D37" s="38" t="str">
        <f>_xlfn.IFNA(INDEX('RD3 XCO Sheps'!$I$2:$I$190,MATCH(Men_5[[#This Row],[Rider]],'RD3 XCO Sheps'!$F$2:$F$190,0)),"")</f>
        <v/>
      </c>
      <c r="E37" s="38">
        <f>_xlfn.IFNA(INDEX('RD4 Ohalloran'!$I$2:$I$180,MATCH(Men_5[[#This Row],[Rider]],'RD4 Ohalloran'!$F$2:$F$180,0)),"")</f>
        <v>237.99999999999997</v>
      </c>
      <c r="F37" s="38">
        <f>_xlfn.IFNA(INDEX('RD5 Craigburn'!$I$2:$I$164,MATCH(Men_5[[#This Row],[Rider]],'RD5 Craigburn'!$F$2:$F$164,0)),"")</f>
        <v>273</v>
      </c>
      <c r="G37" s="38" t="str">
        <f>_xlfn.IFNA(INDEX('RD6 Kinchina'!$I$2:$I$200,MATCH(Men_5[[#This Row],[Rider]],'RD6 Kinchina'!$F$2:$F$200,0)),"")</f>
        <v/>
      </c>
      <c r="H37" s="38" t="str">
        <f>_xlfn.IFNA(INDEX('RD7 O''Hallaron'!$I$2:$I$190,MATCH(Men_5[[#This Row],[Rider]],'RD7 O''Hallaron'!$F$2:$F$201,0)),"")</f>
        <v/>
      </c>
      <c r="I37" s="38" t="str">
        <f>_xlfn.IFNA(INDEX('RD8 Fox Creek'!$I$2:$I$204,MATCH(Men_5[[#This Row],[Rider]],'RD8 Fox Creek'!$F$2:$F$204,0)),"")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3</v>
      </c>
      <c r="L37" s="59">
        <f>3-COUNTBLANK(Men_5[[#This Row],[RD1 XCC Eagle]:[RD3 XCO Sheps]])</f>
        <v>1</v>
      </c>
      <c r="M37" s="59">
        <f>4-COUNTBLANK(Men_5[[#This Row],[RD4 XCO Ohal]:[RD7 XCO O''Halloran]])</f>
        <v>2</v>
      </c>
      <c r="N37" s="59">
        <f>2-COUNTBLANK(Men_5[[#This Row],[RD8 XCO Fox Creek]:[RD9 XCO Willowie]])</f>
        <v>0</v>
      </c>
      <c r="O37" s="59" cm="1">
        <f t="array" ref="O37">IF(Men_5[[#This Row],[Number of Rounds]]&lt;=6,SUM(IF(ISNA(B37:J37),0,B37:J37)),SUM(LARGE(B37:J37,{1,2,3,4,5,6})))</f>
        <v>749</v>
      </c>
      <c r="P37" s="59" cm="1">
        <f t="array" ref="P37">IF(Men_5[[#This Row],[Number of Rounds XCM]]&lt;=3,SUM(IF(ISNA(E37:H37),0,E37:H37)),SUM(LARGE(E37:H37,{1,2,3})))</f>
        <v>511</v>
      </c>
      <c r="Q37" s="59">
        <f>SUM(Men_5[[#This Row],[RD8 XCO Fox Creek]:[RD9 XCO Willowie]])</f>
        <v>0</v>
      </c>
      <c r="R37" s="59">
        <f>Men_5[[#This Row],[Best 6 of 8 Overall]]+Men_5[[#This Row],[Best 3 of 4 XCM]]+Men_5[[#This Row],[Total of 2 XCO]]</f>
        <v>1260</v>
      </c>
      <c r="S37" s="134" cm="1">
        <f t="array" ref="S37">68-SUM(IF(O37&gt;$O$18:$O$212,1/COUNTIF($O$18:$O$212,$O$18:$O$212)))</f>
        <v>17.999999999999829</v>
      </c>
      <c r="T37" s="18"/>
      <c r="U37" s="103" t="s">
        <v>249</v>
      </c>
      <c r="V37" s="77" t="str">
        <f>_xlfn.IFNA(INDEX('RD1 Eagle'!$I$2:$I$154,MATCH(Women6[[#This Row],[Rider]],'RD1 Eagle'!$F$2:$F$154,0)),"")</f>
        <v/>
      </c>
      <c r="W37" s="38">
        <f>_xlfn.IFNA(INDEX('RD2 Shepherds'!$I$2:$I$143,MATCH(Women6[[#This Row],[Rider]],'RD2 Shepherds'!$F$2:$F$143,0)),"")</f>
        <v>315</v>
      </c>
      <c r="X37" s="34" t="str">
        <f>_xlfn.IFNA(INDEX('RD3 XCO Sheps'!$I$2:$I$190,MATCH(Women6[[#This Row],[Rider]],'RD3 XCO Sheps'!$F$2:$F$190,0)),"")</f>
        <v/>
      </c>
      <c r="Y37" s="34" t="str">
        <f>_xlfn.IFNA(INDEX('RD4 Ohalloran'!$I$2:$I$184,MATCH(Women6[[#This Row],[Rider]],'RD4 Ohalloran'!$F$2:$F$184,0)),"")</f>
        <v/>
      </c>
      <c r="Z37" s="34" t="str">
        <f>_xlfn.IFNA(INDEX('RD5 Craigburn'!$I$2:$I$164,MATCH(Women6[[#This Row],[Rider]],'RD5 Craigburn'!$F$2:$F$164,0)),"")</f>
        <v/>
      </c>
      <c r="AA37" s="34" t="str">
        <f>_xlfn.IFNA(INDEX('RD6 Kinchina'!$I$2:$I$199,MATCH(Women6[[#This Row],[Rider]],'RD6 Kinchina'!$F$2:$F$199,0)),"")</f>
        <v/>
      </c>
      <c r="AB37" s="34" t="str">
        <f>_xlfn.IFNA(INDEX('RD7 O''Hallaron'!$I$2:$I$190,MATCH(Women6[[#This Row],[Rider]],'RD7 O''Hallaron'!$F$2:$F$201,0)),"")</f>
        <v/>
      </c>
      <c r="AC37" s="34" t="str">
        <f>_xlfn.IFNA(INDEX('RD8 Fox Creek'!$I$2:$I$204,MATCH(Women6[[#This Row],[Rider]],'RD8 Fox Creek'!$F$2:$F$204,0)),"")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XCO Ohal]:[RD7 XCO O''Halloran]])</f>
        <v>0</v>
      </c>
      <c r="AH37" s="57">
        <f>2-COUNTBLANK(Women6[[#This Row],[RD8 XCO Fox Creek]:[RD9 XCO Willowie]])</f>
        <v>0</v>
      </c>
      <c r="AI37" s="57" cm="1">
        <f t="array" ref="AI37">IF(Women6[[#This Row],[Number of Rounds]]&lt;=6,SUM(IF(ISNA(V37:AD37),0,V37:AD37)),SUM(LARGE(V37:AD37,{1,2,3,4,5,6})))</f>
        <v>315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Fox Creek]:[RD9 XCO Willowie]])</f>
        <v>0</v>
      </c>
      <c r="AL37" s="57">
        <f>Women6[[#This Row],[Best 3 of 4 XCM]]+Women6[[#This Row],[Best 6 of 8 Overall]]+Women6[[#This Row],[Total of 2 XCO]]</f>
        <v>315</v>
      </c>
      <c r="AM37" s="134" cm="1">
        <f t="array" ref="AM37">29-SUM(IF(AI37&gt;$AI$18:$AI$52,1/COUNTIF($AI$18:$AI$52,$AI$18:$AI$52)))</f>
        <v>19.000000000000004</v>
      </c>
      <c r="AN37" s="18"/>
      <c r="AO37" s="103" t="s">
        <v>266</v>
      </c>
      <c r="AP37" s="69" t="str">
        <f>_xlfn.IFNA(INDEX('RD1 Eagle'!$I$2:$I$154,MATCH(Junior7[[#This Row],[Rider]],'RD1 Eagle'!$F$2:$F$154,0)),"")</f>
        <v/>
      </c>
      <c r="AQ37" s="69">
        <f>_xlfn.IFNA(INDEX('RD2 Shepherds'!$I$2:$I$143,MATCH(Junior7[[#This Row],[Rider]],'RD2 Shepherds'!$F$2:$F$143,0)),"")</f>
        <v>390</v>
      </c>
      <c r="AR37" s="34" t="str">
        <f>_xlfn.IFNA(INDEX('RD3 XCO Sheps'!$I$2:$I$190,MATCH(Junior7[[#This Row],[Rider]],'RD3 XCO Sheps'!$F$2:$F$190,0)),"")</f>
        <v/>
      </c>
      <c r="AS37" s="34" t="str">
        <f>_xlfn.IFNA(INDEX('RD4 Ohalloran'!$I$2:$I$184,MATCH(Junior7[[#This Row],[Rider]],'RD4 Ohalloran'!$F$2:$F$184,0)),"")</f>
        <v/>
      </c>
      <c r="AT37" s="34" t="str">
        <f>_xlfn.IFNA(INDEX('RD5 Craigburn'!$I$2:$I$168,MATCH(Junior7[[#This Row],[Rider]],'RD5 Craigburn'!$F$2:$F$168,0)),"")</f>
        <v/>
      </c>
      <c r="AU37" s="57" t="str">
        <f>_xlfn.IFNA(INDEX('RD6 Kinchina'!$I$2:$I$199,MATCH(Junior7[[#This Row],[Rider]],'RD6 Kinchina'!$F$2:$F$199,0)),"")</f>
        <v/>
      </c>
      <c r="AV37" s="57" t="str">
        <f>_xlfn.IFNA(INDEX('RD7 O''Hallaron'!$I$2:$I$190,MATCH(Junior7[[#This Row],[Rider]],'RD7 O''Hallaron'!$F$2:$F$201,0)),"")</f>
        <v/>
      </c>
      <c r="AW37" s="57" t="str">
        <f>_xlfn.IFNA(INDEX('RD8 Fox Creek'!$I$2:$I$204,MATCH(Junior7[[#This Row],[Rider]],'RD8 Fox Creek'!$F$2:$F$204,0)),"")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XCO Ohal]:[RD7 XCO O''Halloran]])</f>
        <v>0</v>
      </c>
      <c r="BB37" s="24">
        <f>2-COUNTBLANK(Junior7[[#This Row],[RD8 XCO Fox Creek]:[RD9 XCO Willowie]])</f>
        <v>0</v>
      </c>
      <c r="BC37" s="34" cm="1">
        <f t="array" ref="BC37">IF(Junior7[[#This Row],[Number of Rounds]]&lt;=6,SUM(IF(ISNA(AP37:AX37),0,AP37:AX37)),SUM(LARGE(AP37:AX37,{1,2,3,4,5,6})))</f>
        <v>390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Fox Creek]:[RD9 XCO Willowie]])</f>
        <v>0</v>
      </c>
      <c r="BF37" s="23">
        <f>Junior7[[#This Row],[Best 3 of 4 XCM]]+Junior7[[#This Row],[Best 6 of 8 Overall]]+Junior7[[#This Row],[Total of 2 XCO]]</f>
        <v>390</v>
      </c>
      <c r="BG37" s="37" cm="1">
        <f t="array" ref="BG37">23-SUM(IF(BC37&gt;$BC$18:$BC$71,1/COUNTIF($BC$18:$BC$71,$BC$18:$BC$71)))</f>
        <v>19.000000000000004</v>
      </c>
      <c r="BH37" s="18"/>
    </row>
    <row r="38" spans="1:60" ht="16" x14ac:dyDescent="0.2">
      <c r="A38" s="103" t="s">
        <v>194</v>
      </c>
      <c r="B38" s="38">
        <f>_xlfn.IFNA(INDEX('RD1 Eagle'!$I$2:$I$154,MATCH(Men_5[[#This Row],[Rider]],'RD1 Eagle'!$F$2:$F$154,0)),"")</f>
        <v>337.5</v>
      </c>
      <c r="C38" s="38" t="str">
        <f>_xlfn.IFNA(INDEX('RD2 Shepherds'!$I$2:$I$143,MATCH(Men_5[[#This Row],[Rider]],'RD2 Shepherds'!$F$2:$F$143,0)),"")</f>
        <v/>
      </c>
      <c r="D38" s="38" t="str">
        <f>_xlfn.IFNA(INDEX('RD3 XCO Sheps'!$I$2:$I$190,MATCH(Men_5[[#This Row],[Rider]],'RD3 XCO Sheps'!$F$2:$F$190,0)),"")</f>
        <v/>
      </c>
      <c r="E38" s="38">
        <f>_xlfn.IFNA(INDEX('RD4 Ohalloran'!$I$2:$I$180,MATCH(Men_5[[#This Row],[Rider]],'RD4 Ohalloran'!$F$2:$F$180,0)),"")</f>
        <v>380</v>
      </c>
      <c r="F38" s="38" t="str">
        <f>_xlfn.IFNA(INDEX('RD5 Craigburn'!$I$2:$I$164,MATCH(Men_5[[#This Row],[Rider]],'RD5 Craigburn'!$F$2:$F$164,0)),"")</f>
        <v/>
      </c>
      <c r="G38" s="38" t="str">
        <f>_xlfn.IFNA(INDEX('RD6 Kinchina'!$I$2:$I$200,MATCH(Men_5[[#This Row],[Rider]],'RD6 Kinchina'!$F$2:$F$200,0)),"")</f>
        <v/>
      </c>
      <c r="H38" s="38" t="str">
        <f>_xlfn.IFNA(INDEX('RD7 O''Hallaron'!$I$2:$I$190,MATCH(Men_5[[#This Row],[Rider]],'RD7 O''Hallaron'!$F$2:$F$201,0)),"")</f>
        <v/>
      </c>
      <c r="I38" s="38" t="str">
        <f>_xlfn.IFNA(INDEX('RD8 Fox Creek'!$I$2:$I$204,MATCH(Men_5[[#This Row],[Rider]],'RD8 Fox Creek'!$F$2:$F$204,0)),"")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2</v>
      </c>
      <c r="L38" s="59">
        <f>3-COUNTBLANK(Men_5[[#This Row],[RD1 XCC Eagle]:[RD3 XCO Sheps]])</f>
        <v>1</v>
      </c>
      <c r="M38" s="59">
        <f>4-COUNTBLANK(Men_5[[#This Row],[RD4 XCO Ohal]:[RD7 XCO O''Halloran]])</f>
        <v>1</v>
      </c>
      <c r="N38" s="59">
        <f>2-COUNTBLANK(Men_5[[#This Row],[RD8 XCO Fox Creek]:[RD9 XCO Willowie]])</f>
        <v>0</v>
      </c>
      <c r="O38" s="59" cm="1">
        <f t="array" ref="O38">IF(Men_5[[#This Row],[Number of Rounds]]&lt;=6,SUM(IF(ISNA(B38:J38),0,B38:J38)),SUM(LARGE(B38:J38,{1,2,3,4,5,6})))</f>
        <v>717.5</v>
      </c>
      <c r="P38" s="59" cm="1">
        <f t="array" ref="P38">IF(Men_5[[#This Row],[Number of Rounds XCM]]&lt;=3,SUM(IF(ISNA(E38:H38),0,E38:H38)),SUM(LARGE(E38:H38,{1,2,3})))</f>
        <v>380</v>
      </c>
      <c r="Q38" s="59">
        <f>SUM(Men_5[[#This Row],[RD8 XCO Fox Creek]:[RD9 XCO Willowie]])</f>
        <v>0</v>
      </c>
      <c r="R38" s="59">
        <f>Men_5[[#This Row],[Best 6 of 8 Overall]]+Men_5[[#This Row],[Best 3 of 4 XCM]]+Men_5[[#This Row],[Total of 2 XCO]]</f>
        <v>1097.5</v>
      </c>
      <c r="S38" s="134" cm="1">
        <f t="array" ref="S38">68-SUM(IF(O38&gt;$O$18:$O$212,1/COUNTIF($O$18:$O$212,$O$18:$O$212)))</f>
        <v>18.999999999999829</v>
      </c>
      <c r="T38" s="18"/>
      <c r="U38" s="103" t="s">
        <v>246</v>
      </c>
      <c r="V38" s="69" t="str">
        <f>_xlfn.IFNA(INDEX('RD1 Eagle'!$I$2:$I$154,MATCH(Women6[[#This Row],[Rider]],'RD1 Eagle'!$F$2:$F$154,0)),"")</f>
        <v/>
      </c>
      <c r="W38" s="34">
        <f>_xlfn.IFNA(INDEX('RD2 Shepherds'!$I$2:$I$143,MATCH(Women6[[#This Row],[Rider]],'RD2 Shepherds'!$F$2:$F$143,0)),"")</f>
        <v>300</v>
      </c>
      <c r="X38" s="34" t="str">
        <f>_xlfn.IFNA(INDEX('RD3 XCO Sheps'!$I$2:$I$190,MATCH(Women6[[#This Row],[Rider]],'RD3 XCO Sheps'!$F$2:$F$190,0)),"")</f>
        <v/>
      </c>
      <c r="Y38" s="34" t="str">
        <f>_xlfn.IFNA(INDEX('RD4 Ohalloran'!$I$2:$I$184,MATCH(Women6[[#This Row],[Rider]],'RD4 Ohalloran'!$F$2:$F$184,0)),"")</f>
        <v/>
      </c>
      <c r="Z38" s="34" t="str">
        <f>_xlfn.IFNA(INDEX('RD5 Craigburn'!$I$2:$I$164,MATCH(Women6[[#This Row],[Rider]],'RD5 Craigburn'!$F$2:$F$164,0)),"")</f>
        <v/>
      </c>
      <c r="AA38" s="34" t="str">
        <f>_xlfn.IFNA(INDEX('RD6 Kinchina'!$I$2:$I$199,MATCH(Women6[[#This Row],[Rider]],'RD6 Kinchina'!$F$2:$F$199,0)),"")</f>
        <v/>
      </c>
      <c r="AB38" s="34" t="str">
        <f>_xlfn.IFNA(INDEX('RD7 O''Hallaron'!$I$2:$I$190,MATCH(Women6[[#This Row],[Rider]],'RD7 O''Hallaron'!$F$2:$F$201,0)),"")</f>
        <v/>
      </c>
      <c r="AC38" s="34" t="str">
        <f>_xlfn.IFNA(INDEX('RD8 Fox Creek'!$I$2:$I$204,MATCH(Women6[[#This Row],[Rider]],'RD8 Fox Creek'!$F$2:$F$204,0)),"")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1</v>
      </c>
      <c r="AG38" s="57">
        <f>4-COUNTBLANK(Women6[[#This Row],[RD4 XCO Ohal]:[RD7 XCO O''Halloran]])</f>
        <v>0</v>
      </c>
      <c r="AH38" s="57">
        <f>2-COUNTBLANK(Women6[[#This Row],[RD8 XCO Fox Creek]:[RD9 XCO Willowie]])</f>
        <v>0</v>
      </c>
      <c r="AI38" s="57" cm="1">
        <f t="array" ref="AI38">IF(Women6[[#This Row],[Number of Rounds]]&lt;=6,SUM(IF(ISNA(V38:AD38),0,V38:AD38)),SUM(LARGE(V38:AD38,{1,2,3,4,5,6})))</f>
        <v>300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Fox Creek]:[RD9 XCO Willowie]])</f>
        <v>0</v>
      </c>
      <c r="AL38" s="57">
        <f>Women6[[#This Row],[Best 3 of 4 XCM]]+Women6[[#This Row],[Best 6 of 8 Overall]]+Women6[[#This Row],[Total of 2 XCO]]</f>
        <v>300</v>
      </c>
      <c r="AM38" s="134" cm="1">
        <f t="array" ref="AM38">29-SUM(IF(AI38&gt;$AI$18:$AI$52,1/COUNTIF($AI$18:$AI$52,$AI$18:$AI$52)))</f>
        <v>20.000000000000004</v>
      </c>
      <c r="AN38" s="18"/>
      <c r="AO38" s="103" t="s">
        <v>216</v>
      </c>
      <c r="AP38" s="69">
        <f>_xlfn.IFNA(INDEX('RD1 Eagle'!$I$2:$I$154,MATCH(Junior7[[#This Row],[Rider]],'RD1 Eagle'!$F$2:$F$154,0)),"")</f>
        <v>380</v>
      </c>
      <c r="AQ38" s="69" t="str">
        <f>_xlfn.IFNA(INDEX('RD2 Shepherds'!$I$2:$I$143,MATCH(Junior7[[#This Row],[Rider]],'RD2 Shepherds'!$F$2:$F$143,0)),"")</f>
        <v/>
      </c>
      <c r="AR38" s="34" t="str">
        <f>_xlfn.IFNA(INDEX('RD3 XCO Sheps'!$I$2:$I$190,MATCH(Junior7[[#This Row],[Rider]],'RD3 XCO Sheps'!$F$2:$F$190,0)),"")</f>
        <v/>
      </c>
      <c r="AS38" s="34" t="str">
        <f>_xlfn.IFNA(INDEX('RD4 Ohalloran'!$I$2:$I$184,MATCH(Junior7[[#This Row],[Rider]],'RD4 Ohalloran'!$F$2:$F$184,0)),"")</f>
        <v/>
      </c>
      <c r="AT38" s="34" t="str">
        <f>_xlfn.IFNA(INDEX('RD5 Craigburn'!$I$2:$I$168,MATCH(Junior7[[#This Row],[Rider]],'RD5 Craigburn'!$F$2:$F$168,0)),"")</f>
        <v/>
      </c>
      <c r="AU38" s="57" t="str">
        <f>_xlfn.IFNA(INDEX('RD6 Kinchina'!$I$2:$I$199,MATCH(Junior7[[#This Row],[Rider]],'RD6 Kinchina'!$F$2:$F$199,0)),"")</f>
        <v/>
      </c>
      <c r="AV38" s="57" t="str">
        <f>_xlfn.IFNA(INDEX('RD7 O''Hallaron'!$I$2:$I$190,MATCH(Junior7[[#This Row],[Rider]],'RD7 O''Hallaron'!$F$2:$F$201,0)),"")</f>
        <v/>
      </c>
      <c r="AW38" s="57" t="str">
        <f>_xlfn.IFNA(INDEX('RD8 Fox Creek'!$I$2:$I$204,MATCH(Junior7[[#This Row],[Rider]],'RD8 Fox Creek'!$F$2:$F$204,0)),"")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1</v>
      </c>
      <c r="BA38" s="24">
        <f>4-COUNTBLANK(Junior7[[#This Row],[RD4 XCO Ohal]:[RD7 XCO O''Halloran]])</f>
        <v>0</v>
      </c>
      <c r="BB38" s="24">
        <f>2-COUNTBLANK(Junior7[[#This Row],[RD8 XCO Fox Creek]:[RD9 XCO Willowie]])</f>
        <v>0</v>
      </c>
      <c r="BC38" s="34" cm="1">
        <f t="array" ref="BC38">IF(Junior7[[#This Row],[Number of Rounds]]&lt;=6,SUM(IF(ISNA(AP38:AX38),0,AP38:AX38)),SUM(LARGE(AP38:AX38,{1,2,3,4,5,6})))</f>
        <v>380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Fox Creek]:[RD9 XCO Willowie]])</f>
        <v>0</v>
      </c>
      <c r="BF38" s="23">
        <f>Junior7[[#This Row],[Best 3 of 4 XCM]]+Junior7[[#This Row],[Best 6 of 8 Overall]]+Junior7[[#This Row],[Total of 2 XCO]]</f>
        <v>380</v>
      </c>
      <c r="BG38" s="37" cm="1">
        <f t="array" ref="BG38">23-SUM(IF(BC38&gt;$BC$18:$BC$71,1/COUNTIF($BC$18:$BC$71,$BC$18:$BC$71)))</f>
        <v>20.000000000000004</v>
      </c>
      <c r="BH38" s="18"/>
    </row>
    <row r="39" spans="1:60" ht="16" x14ac:dyDescent="0.2">
      <c r="A39" s="103" t="s">
        <v>237</v>
      </c>
      <c r="B39" s="38" t="str">
        <f>_xlfn.IFNA(INDEX('RD1 Eagle'!$I$2:$I$154,MATCH(Men_5[[#This Row],[Rider]],'RD1 Eagle'!$F$2:$F$154,0)),"")</f>
        <v/>
      </c>
      <c r="C39" s="38">
        <f>_xlfn.IFNA(INDEX('RD2 Shepherds'!$I$2:$I$143,MATCH(Men_5[[#This Row],[Rider]],'RD2 Shepherds'!$F$2:$F$143,0)),"")</f>
        <v>210</v>
      </c>
      <c r="D39" s="38" t="str">
        <f>_xlfn.IFNA(INDEX('RD3 XCO Sheps'!$I$2:$I$190,MATCH(Men_5[[#This Row],[Rider]],'RD3 XCO Sheps'!$F$2:$F$190,0)),"")</f>
        <v/>
      </c>
      <c r="E39" s="38">
        <f>_xlfn.IFNA(INDEX('RD4 Ohalloran'!$I$2:$I$180,MATCH(Men_5[[#This Row],[Rider]],'RD4 Ohalloran'!$F$2:$F$180,0)),"")</f>
        <v>230.99999999999997</v>
      </c>
      <c r="F39" s="38">
        <f>_xlfn.IFNA(INDEX('RD5 Craigburn'!$I$2:$I$164,MATCH(Men_5[[#This Row],[Rider]],'RD5 Craigburn'!$F$2:$F$164,0)),"")</f>
        <v>259</v>
      </c>
      <c r="G39" s="38" t="str">
        <f>_xlfn.IFNA(INDEX('RD6 Kinchina'!$I$2:$I$200,MATCH(Men_5[[#This Row],[Rider]],'RD6 Kinchina'!$F$2:$F$200,0)),"")</f>
        <v/>
      </c>
      <c r="H39" s="38" t="str">
        <f>_xlfn.IFNA(INDEX('RD7 O''Hallaron'!$I$2:$I$190,MATCH(Men_5[[#This Row],[Rider]],'RD7 O''Hallaron'!$F$2:$F$201,0)),"")</f>
        <v/>
      </c>
      <c r="I39" s="38" t="str">
        <f>_xlfn.IFNA(INDEX('RD8 Fox Creek'!$I$2:$I$204,MATCH(Men_5[[#This Row],[Rider]],'RD8 Fox Creek'!$F$2:$F$204,0)),"")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3</v>
      </c>
      <c r="L39" s="59">
        <f>3-COUNTBLANK(Men_5[[#This Row],[RD1 XCC Eagle]:[RD3 XCO Sheps]])</f>
        <v>1</v>
      </c>
      <c r="M39" s="59">
        <f>4-COUNTBLANK(Men_5[[#This Row],[RD4 XCO Ohal]:[RD7 XCO O''Halloran]])</f>
        <v>2</v>
      </c>
      <c r="N39" s="59">
        <f>2-COUNTBLANK(Men_5[[#This Row],[RD8 XCO Fox Creek]:[RD9 XCO Willowie]])</f>
        <v>0</v>
      </c>
      <c r="O39" s="59" cm="1">
        <f t="array" ref="O39">IF(Men_5[[#This Row],[Number of Rounds]]&lt;=6,SUM(IF(ISNA(B39:J39),0,B39:J39)),SUM(LARGE(B39:J39,{1,2,3,4,5,6})))</f>
        <v>700</v>
      </c>
      <c r="P39" s="59" cm="1">
        <f t="array" ref="P39">IF(Men_5[[#This Row],[Number of Rounds XCM]]&lt;=3,SUM(IF(ISNA(E39:H39),0,E39:H39)),SUM(LARGE(E39:H39,{1,2,3})))</f>
        <v>490</v>
      </c>
      <c r="Q39" s="59">
        <f>SUM(Men_5[[#This Row],[RD8 XCO Fox Creek]:[RD9 XCO Willowie]])</f>
        <v>0</v>
      </c>
      <c r="R39" s="59">
        <f>Men_5[[#This Row],[Best 6 of 8 Overall]]+Men_5[[#This Row],[Best 3 of 4 XCM]]+Men_5[[#This Row],[Total of 2 XCO]]</f>
        <v>1190</v>
      </c>
      <c r="S39" s="134" cm="1">
        <f t="array" ref="S39">68-SUM(IF(O39&gt;$O$18:$O$212,1/COUNTIF($O$18:$O$212,$O$18:$O$212)))</f>
        <v>19.999999999999829</v>
      </c>
      <c r="T39" s="18"/>
      <c r="U39" s="103" t="s">
        <v>247</v>
      </c>
      <c r="V39" s="77" t="str">
        <f>_xlfn.IFNA(INDEX('RD1 Eagle'!$I$2:$I$154,MATCH(Women6[[#This Row],[Rider]],'RD1 Eagle'!$F$2:$F$154,0)),"")</f>
        <v/>
      </c>
      <c r="W39" s="38">
        <f>_xlfn.IFNA(INDEX('RD2 Shepherds'!$I$2:$I$143,MATCH(Women6[[#This Row],[Rider]],'RD2 Shepherds'!$F$2:$F$143,0)),"")</f>
        <v>292.5</v>
      </c>
      <c r="X39" s="34" t="str">
        <f>_xlfn.IFNA(INDEX('RD3 XCO Sheps'!$I$2:$I$190,MATCH(Women6[[#This Row],[Rider]],'RD3 XCO Sheps'!$F$2:$F$190,0)),"")</f>
        <v/>
      </c>
      <c r="Y39" s="34" t="str">
        <f>_xlfn.IFNA(INDEX('RD4 Ohalloran'!$I$2:$I$184,MATCH(Women6[[#This Row],[Rider]],'RD4 Ohalloran'!$F$2:$F$184,0)),"")</f>
        <v/>
      </c>
      <c r="Z39" s="34" t="str">
        <f>_xlfn.IFNA(INDEX('RD5 Craigburn'!$I$2:$I$164,MATCH(Women6[[#This Row],[Rider]],'RD5 Craigburn'!$F$2:$F$164,0)),"")</f>
        <v/>
      </c>
      <c r="AA39" s="34" t="str">
        <f>_xlfn.IFNA(INDEX('RD6 Kinchina'!$I$2:$I$199,MATCH(Women6[[#This Row],[Rider]],'RD6 Kinchina'!$F$2:$F$199,0)),"")</f>
        <v/>
      </c>
      <c r="AB39" s="34" t="str">
        <f>_xlfn.IFNA(INDEX('RD7 O''Hallaron'!$I$2:$I$190,MATCH(Women6[[#This Row],[Rider]],'RD7 O''Hallaron'!$F$2:$F$201,0)),"")</f>
        <v/>
      </c>
      <c r="AC39" s="34" t="str">
        <f>_xlfn.IFNA(INDEX('RD8 Fox Creek'!$I$2:$I$204,MATCH(Women6[[#This Row],[Rider]],'RD8 Fox Creek'!$F$2:$F$204,0)),"")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1</v>
      </c>
      <c r="AG39" s="57">
        <f>4-COUNTBLANK(Women6[[#This Row],[RD4 XCO Ohal]:[RD7 XCO O''Halloran]])</f>
        <v>0</v>
      </c>
      <c r="AH39" s="57">
        <f>2-COUNTBLANK(Women6[[#This Row],[RD8 XCO Fox Creek]:[RD9 XCO Willowie]])</f>
        <v>0</v>
      </c>
      <c r="AI39" s="57" cm="1">
        <f t="array" ref="AI39">IF(Women6[[#This Row],[Number of Rounds]]&lt;=6,SUM(IF(ISNA(V39:AD39),0,V39:AD39)),SUM(LARGE(V39:AD39,{1,2,3,4,5,6})))</f>
        <v>292.5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Fox Creek]:[RD9 XCO Willowie]])</f>
        <v>0</v>
      </c>
      <c r="AL39" s="57">
        <f>Women6[[#This Row],[Best 3 of 4 XCM]]+Women6[[#This Row],[Best 6 of 8 Overall]]+Women6[[#This Row],[Total of 2 XCO]]</f>
        <v>292.5</v>
      </c>
      <c r="AM39" s="134" cm="1">
        <f t="array" ref="AM39">29-SUM(IF(AI39&gt;$AI$18:$AI$52,1/COUNTIF($AI$18:$AI$52,$AI$18:$AI$52)))</f>
        <v>21</v>
      </c>
      <c r="AN39" s="18"/>
      <c r="AO39" s="103" t="s">
        <v>217</v>
      </c>
      <c r="AP39" s="69">
        <f>_xlfn.IFNA(INDEX('RD1 Eagle'!$I$2:$I$154,MATCH(Junior7[[#This Row],[Rider]],'RD1 Eagle'!$F$2:$F$154,0)),"")</f>
        <v>370</v>
      </c>
      <c r="AQ39" s="69" t="str">
        <f>_xlfn.IFNA(INDEX('RD2 Shepherds'!$I$2:$I$143,MATCH(Junior7[[#This Row],[Rider]],'RD2 Shepherds'!$F$2:$F$143,0)),"")</f>
        <v/>
      </c>
      <c r="AR39" s="34" t="str">
        <f>_xlfn.IFNA(INDEX('RD3 XCO Sheps'!$I$2:$I$190,MATCH(Junior7[[#This Row],[Rider]],'RD3 XCO Sheps'!$F$2:$F$190,0)),"")</f>
        <v/>
      </c>
      <c r="AS39" s="34" t="str">
        <f>_xlfn.IFNA(INDEX('RD4 Ohalloran'!$I$2:$I$184,MATCH(Junior7[[#This Row],[Rider]],'RD4 Ohalloran'!$F$2:$F$184,0)),"")</f>
        <v/>
      </c>
      <c r="AT39" s="34" t="str">
        <f>_xlfn.IFNA(INDEX('RD5 Craigburn'!$I$2:$I$168,MATCH(Junior7[[#This Row],[Rider]],'RD5 Craigburn'!$F$2:$F$168,0)),"")</f>
        <v/>
      </c>
      <c r="AU39" s="57" t="str">
        <f>_xlfn.IFNA(INDEX('RD6 Kinchina'!$I$2:$I$199,MATCH(Junior7[[#This Row],[Rider]],'RD6 Kinchina'!$F$2:$F$199,0)),"")</f>
        <v/>
      </c>
      <c r="AV39" s="57" t="str">
        <f>_xlfn.IFNA(INDEX('RD7 O''Hallaron'!$I$2:$I$190,MATCH(Junior7[[#This Row],[Rider]],'RD7 O''Hallaron'!$F$2:$F$201,0)),"")</f>
        <v/>
      </c>
      <c r="AW39" s="57" t="str">
        <f>_xlfn.IFNA(INDEX('RD8 Fox Creek'!$I$2:$I$204,MATCH(Junior7[[#This Row],[Rider]],'RD8 Fox Creek'!$F$2:$F$204,0)),"")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O''Halloran]])</f>
        <v>0</v>
      </c>
      <c r="BB39" s="24">
        <f>2-COUNTBLANK(Junior7[[#This Row],[RD8 XCO Fox Creek]:[RD9 XCO Willowie]])</f>
        <v>0</v>
      </c>
      <c r="BC39" s="34" cm="1">
        <f t="array" ref="BC39">IF(Junior7[[#This Row],[Number of Rounds]]&lt;=6,SUM(IF(ISNA(AP39:AX39),0,AP39:AX39)),SUM(LARGE(AP39:AX39,{1,2,3,4,5,6})))</f>
        <v>370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Fox Creek]:[RD9 XCO Willowie]])</f>
        <v>0</v>
      </c>
      <c r="BF39" s="23">
        <f>Junior7[[#This Row],[Best 3 of 4 XCM]]+Junior7[[#This Row],[Best 6 of 8 Overall]]+Junior7[[#This Row],[Total of 2 XCO]]</f>
        <v>370</v>
      </c>
      <c r="BG39" s="37" cm="1">
        <f t="array" ref="BG39">23-SUM(IF(BC39&gt;$BC$18:$BC$71,1/COUNTIF($BC$18:$BC$71,$BC$18:$BC$71)))</f>
        <v>21</v>
      </c>
      <c r="BH39" s="18"/>
    </row>
    <row r="40" spans="1:60" ht="16" x14ac:dyDescent="0.2">
      <c r="A40" s="103" t="s">
        <v>160</v>
      </c>
      <c r="B40" s="38">
        <f>_xlfn.IFNA(INDEX('RD1 Eagle'!$I$2:$I$154,MATCH(Men_5[[#This Row],[Rider]],'RD1 Eagle'!$F$2:$F$154,0)),"")</f>
        <v>292.5</v>
      </c>
      <c r="C40" s="38" t="str">
        <f>_xlfn.IFNA(INDEX('RD2 Shepherds'!$I$2:$I$143,MATCH(Men_5[[#This Row],[Rider]],'RD2 Shepherds'!$F$2:$F$143,0)),"")</f>
        <v/>
      </c>
      <c r="D40" s="38" t="str">
        <f>_xlfn.IFNA(INDEX('RD3 XCO Sheps'!$I$2:$I$190,MATCH(Men_5[[#This Row],[Rider]],'RD3 XCO Sheps'!$F$2:$F$190,0)),"")</f>
        <v/>
      </c>
      <c r="E40" s="38">
        <f>_xlfn.IFNA(INDEX('RD4 Ohalloran'!$I$2:$I$180,MATCH(Men_5[[#This Row],[Rider]],'RD4 Ohalloran'!$F$2:$F$180,0)),"")</f>
        <v>375</v>
      </c>
      <c r="F40" s="38" t="str">
        <f>_xlfn.IFNA(INDEX('RD5 Craigburn'!$I$2:$I$164,MATCH(Men_5[[#This Row],[Rider]],'RD5 Craigburn'!$F$2:$F$164,0)),"")</f>
        <v/>
      </c>
      <c r="G40" s="38" t="str">
        <f>_xlfn.IFNA(INDEX('RD6 Kinchina'!$I$2:$I$200,MATCH(Men_5[[#This Row],[Rider]],'RD6 Kinchina'!$F$2:$F$200,0)),"")</f>
        <v/>
      </c>
      <c r="H40" s="38" t="str">
        <f>_xlfn.IFNA(INDEX('RD7 O''Hallaron'!$I$2:$I$190,MATCH(Men_5[[#This Row],[Rider]],'RD7 O''Hallaron'!$F$2:$F$201,0)),"")</f>
        <v/>
      </c>
      <c r="I40" s="38" t="str">
        <f>_xlfn.IFNA(INDEX('RD8 Fox Creek'!$I$2:$I$204,MATCH(Men_5[[#This Row],[Rider]],'RD8 Fox Creek'!$F$2:$F$204,0)),"")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2</v>
      </c>
      <c r="L40" s="59">
        <f>3-COUNTBLANK(Men_5[[#This Row],[RD1 XCC Eagle]:[RD3 XCO Sheps]])</f>
        <v>1</v>
      </c>
      <c r="M40" s="59">
        <f>4-COUNTBLANK(Men_5[[#This Row],[RD4 XCO Ohal]:[RD7 XCO O''Halloran]])</f>
        <v>1</v>
      </c>
      <c r="N40" s="59">
        <f>2-COUNTBLANK(Men_5[[#This Row],[RD8 XCO Fox Creek]:[RD9 XCO Willowie]])</f>
        <v>0</v>
      </c>
      <c r="O40" s="59" cm="1">
        <f t="array" ref="O40">IF(Men_5[[#This Row],[Number of Rounds]]&lt;=6,SUM(IF(ISNA(B40:J40),0,B40:J40)),SUM(LARGE(B40:J40,{1,2,3,4,5,6})))</f>
        <v>667.5</v>
      </c>
      <c r="P40" s="59" cm="1">
        <f t="array" ref="P40">IF(Men_5[[#This Row],[Number of Rounds XCM]]&lt;=3,SUM(IF(ISNA(E40:H40),0,E40:H40)),SUM(LARGE(E40:H40,{1,2,3})))</f>
        <v>375</v>
      </c>
      <c r="Q40" s="59">
        <f>SUM(Men_5[[#This Row],[RD8 XCO Fox Creek]:[RD9 XCO Willowie]])</f>
        <v>0</v>
      </c>
      <c r="R40" s="59">
        <f>Men_5[[#This Row],[Best 6 of 8 Overall]]+Men_5[[#This Row],[Best 3 of 4 XCM]]+Men_5[[#This Row],[Total of 2 XCO]]</f>
        <v>1042.5</v>
      </c>
      <c r="S40" s="134" cm="1">
        <f t="array" ref="S40">68-SUM(IF(O40&gt;$O$18:$O$212,1/COUNTIF($O$18:$O$212,$O$18:$O$212)))</f>
        <v>20.999999999999829</v>
      </c>
      <c r="T40" s="18"/>
      <c r="U40" s="103" t="s">
        <v>250</v>
      </c>
      <c r="V40" s="69" t="str">
        <f>_xlfn.IFNA(INDEX('RD1 Eagle'!$I$2:$I$154,MATCH(Women6[[#This Row],[Rider]],'RD1 Eagle'!$F$2:$F$154,0)),"")</f>
        <v/>
      </c>
      <c r="W40" s="34">
        <f>_xlfn.IFNA(INDEX('RD2 Shepherds'!$I$2:$I$143,MATCH(Women6[[#This Row],[Rider]],'RD2 Shepherds'!$F$2:$F$143,0)),"")</f>
        <v>280</v>
      </c>
      <c r="X40" s="34" t="str">
        <f>_xlfn.IFNA(INDEX('RD3 XCO Sheps'!$I$2:$I$190,MATCH(Women6[[#This Row],[Rider]],'RD3 XCO Sheps'!$F$2:$F$190,0)),"")</f>
        <v/>
      </c>
      <c r="Y40" s="34" t="str">
        <f>_xlfn.IFNA(INDEX('RD4 Ohalloran'!$I$2:$I$184,MATCH(Women6[[#This Row],[Rider]],'RD4 Ohalloran'!$F$2:$F$184,0)),"")</f>
        <v/>
      </c>
      <c r="Z40" s="34" t="str">
        <f>_xlfn.IFNA(INDEX('RD5 Craigburn'!$I$2:$I$164,MATCH(Women6[[#This Row],[Rider]],'RD5 Craigburn'!$F$2:$F$164,0)),"")</f>
        <v/>
      </c>
      <c r="AA40" s="34" t="str">
        <f>_xlfn.IFNA(INDEX('RD6 Kinchina'!$I$2:$I$199,MATCH(Women6[[#This Row],[Rider]],'RD6 Kinchina'!$F$2:$F$199,0)),"")</f>
        <v/>
      </c>
      <c r="AB40" s="34" t="str">
        <f>_xlfn.IFNA(INDEX('RD7 O''Hallaron'!$I$2:$I$190,MATCH(Women6[[#This Row],[Rider]],'RD7 O''Hallaron'!$F$2:$F$201,0)),"")</f>
        <v/>
      </c>
      <c r="AC40" s="34" t="str">
        <f>_xlfn.IFNA(INDEX('RD8 Fox Creek'!$I$2:$I$204,MATCH(Women6[[#This Row],[Rider]],'RD8 Fox Creek'!$F$2:$F$204,0)),"")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1</v>
      </c>
      <c r="AF40" s="57">
        <f>3-COUNTBLANK(Women6[[#This Row],[RD1 XCC Eagle]:[RD3 XCO Sheps]])</f>
        <v>1</v>
      </c>
      <c r="AG40" s="57">
        <f>4-COUNTBLANK(Women6[[#This Row],[RD4 XCO Ohal]:[RD7 XCO O''Halloran]])</f>
        <v>0</v>
      </c>
      <c r="AH40" s="57">
        <f>2-COUNTBLANK(Women6[[#This Row],[RD8 XCO Fox Creek]:[RD9 XCO Willowie]])</f>
        <v>0</v>
      </c>
      <c r="AI40" s="57" cm="1">
        <f t="array" ref="AI40">IF(Women6[[#This Row],[Number of Rounds]]&lt;=6,SUM(IF(ISNA(V40:AD40),0,V40:AD40)),SUM(LARGE(V40:AD40,{1,2,3,4,5,6})))</f>
        <v>280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Fox Creek]:[RD9 XCO Willowie]])</f>
        <v>0</v>
      </c>
      <c r="AL40" s="57">
        <f>Women6[[#This Row],[Best 3 of 4 XCM]]+Women6[[#This Row],[Best 6 of 8 Overall]]+Women6[[#This Row],[Total of 2 XCO]]</f>
        <v>280</v>
      </c>
      <c r="AM40" s="134" cm="1">
        <f t="array" ref="AM40">29-SUM(IF(AI40&gt;$AI$18:$AI$52,1/COUNTIF($AI$18:$AI$52,$AI$18:$AI$52)))</f>
        <v>22</v>
      </c>
      <c r="AN40" s="18"/>
      <c r="AO40" s="103" t="s">
        <v>318</v>
      </c>
      <c r="AP40" s="69" t="str">
        <f>_xlfn.IFNA(INDEX('RD1 Eagle'!$I$2:$I$154,MATCH(Junior7[[#This Row],[Rider]],'RD1 Eagle'!$F$2:$F$154,0)),"")</f>
        <v/>
      </c>
      <c r="AQ40" s="69" t="str">
        <f>_xlfn.IFNA(INDEX('RD2 Shepherds'!$I$2:$I$143,MATCH(Junior7[[#This Row],[Rider]],'RD2 Shepherds'!$F$2:$F$143,0)),"")</f>
        <v/>
      </c>
      <c r="AR40" s="34" t="str">
        <f>_xlfn.IFNA(INDEX('RD3 XCO Sheps'!$I$2:$I$190,MATCH(Junior7[[#This Row],[Rider]],'RD3 XCO Sheps'!$F$2:$F$190,0)),"")</f>
        <v/>
      </c>
      <c r="AS40" s="34">
        <f>_xlfn.IFNA(INDEX('RD4 Ohalloran'!$I$2:$I$184,MATCH(Junior7[[#This Row],[Rider]],'RD4 Ohalloran'!$F$2:$F$184,0)),"")</f>
        <v>250</v>
      </c>
      <c r="AT40" s="34" t="str">
        <f>_xlfn.IFNA(INDEX('RD5 Craigburn'!$I$2:$I$168,MATCH(Junior7[[#This Row],[Rider]],'RD5 Craigburn'!$F$2:$F$168,0)),"")</f>
        <v/>
      </c>
      <c r="AU40" s="57" t="str">
        <f>_xlfn.IFNA(INDEX('RD6 Kinchina'!$I$2:$I$199,MATCH(Junior7[[#This Row],[Rider]],'RD6 Kinchina'!$F$2:$F$199,0)),"")</f>
        <v/>
      </c>
      <c r="AV40" s="57" t="str">
        <f>_xlfn.IFNA(INDEX('RD7 O''Hallaron'!$I$2:$I$190,MATCH(Junior7[[#This Row],[Rider]],'RD7 O''Hallaron'!$F$2:$F$201,0)),"")</f>
        <v/>
      </c>
      <c r="AW40" s="57" t="str">
        <f>_xlfn.IFNA(INDEX('RD8 Fox Creek'!$I$2:$I$204,MATCH(Junior7[[#This Row],[Rider]],'RD8 Fox Creek'!$F$2:$F$204,0)),"")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3">
        <f>3-COUNTBLANK(Junior7[[#This Row],[RD1 XCC Eagle]:[RD3 XCO Sheps]])</f>
        <v>0</v>
      </c>
      <c r="BA40" s="93">
        <f>4-COUNTBLANK(Junior7[[#This Row],[RD4 XCO Ohal]:[RD7 XCO O''Halloran]])</f>
        <v>1</v>
      </c>
      <c r="BB40" s="93">
        <f>2-COUNTBLANK(Junior7[[#This Row],[RD8 XCO Fox Creek]:[RD9 XCO Willowie]])</f>
        <v>0</v>
      </c>
      <c r="BC40" s="71" cm="1">
        <f t="array" ref="BC40">IF(Junior7[[#This Row],[Number of Rounds]]&lt;=6,SUM(IF(ISNA(AP40:AX40),0,AP40:AX40)),SUM(LARGE(AP40:AX40,{1,2,3,4,5,6})))</f>
        <v>250</v>
      </c>
      <c r="BD40" s="93" cm="1">
        <f t="array" ref="BD40">IF(Junior7[[#This Row],[Number of XCM Rounds]]&lt;=3,SUM(IF(ISNA(AS40:AV40),0,AS40:AV40)),SUM(LARGE(AS40:AV40,{1,2,3})))</f>
        <v>250</v>
      </c>
      <c r="BE40" s="93">
        <f>SUM(Junior7[[#This Row],[RD8 XCO Fox Creek]:[RD9 XCO Willowie]])</f>
        <v>0</v>
      </c>
      <c r="BF40" s="87">
        <f>Junior7[[#This Row],[Best 3 of 4 XCM]]+Junior7[[#This Row],[Best 6 of 8 Overall]]+Junior7[[#This Row],[Total of 2 XCO]]</f>
        <v>500</v>
      </c>
      <c r="BG40" s="37" cm="1">
        <f t="array" ref="BG40">23-SUM(IF(BC40&gt;$BC$18:$BC$71,1/COUNTIF($BC$18:$BC$71,$BC$18:$BC$71)))</f>
        <v>22</v>
      </c>
      <c r="BH40" s="18"/>
    </row>
    <row r="41" spans="1:60" ht="16" x14ac:dyDescent="0.2">
      <c r="A41" s="103" t="s">
        <v>238</v>
      </c>
      <c r="B41" s="38" t="str">
        <f>_xlfn.IFNA(INDEX('RD1 Eagle'!$I$2:$I$154,MATCH(Men_5[[#This Row],[Rider]],'RD1 Eagle'!$F$2:$F$154,0)),"")</f>
        <v/>
      </c>
      <c r="C41" s="38">
        <f>_xlfn.IFNA(INDEX('RD2 Shepherds'!$I$2:$I$143,MATCH(Men_5[[#This Row],[Rider]],'RD2 Shepherds'!$F$2:$F$143,0)),"")</f>
        <v>203</v>
      </c>
      <c r="D41" s="38" t="str">
        <f>_xlfn.IFNA(INDEX('RD3 XCO Sheps'!$I$2:$I$190,MATCH(Men_5[[#This Row],[Rider]],'RD3 XCO Sheps'!$F$2:$F$190,0)),"")</f>
        <v/>
      </c>
      <c r="E41" s="38">
        <f>_xlfn.IFNA(INDEX('RD4 Ohalloran'!$I$2:$I$180,MATCH(Men_5[[#This Row],[Rider]],'RD4 Ohalloran'!$F$2:$F$180,0)),"")</f>
        <v>224</v>
      </c>
      <c r="F41" s="38">
        <f>_xlfn.IFNA(INDEX('RD5 Craigburn'!$I$2:$I$164,MATCH(Men_5[[#This Row],[Rider]],'RD5 Craigburn'!$F$2:$F$164,0)),"")</f>
        <v>210</v>
      </c>
      <c r="G41" s="38" t="str">
        <f>_xlfn.IFNA(INDEX('RD6 Kinchina'!$I$2:$I$200,MATCH(Men_5[[#This Row],[Rider]],'RD6 Kinchina'!$F$2:$F$200,0)),"")</f>
        <v/>
      </c>
      <c r="H41" s="38" t="str">
        <f>_xlfn.IFNA(INDEX('RD7 O''Hallaron'!$I$2:$I$190,MATCH(Men_5[[#This Row],[Rider]],'RD7 O''Hallaron'!$F$2:$F$201,0)),"")</f>
        <v/>
      </c>
      <c r="I41" s="38" t="str">
        <f>_xlfn.IFNA(INDEX('RD8 Fox Creek'!$I$2:$I$204,MATCH(Men_5[[#This Row],[Rider]],'RD8 Fox Creek'!$F$2:$F$204,0)),"")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3</v>
      </c>
      <c r="L41" s="59">
        <f>3-COUNTBLANK(Men_5[[#This Row],[RD1 XCC Eagle]:[RD3 XCO Sheps]])</f>
        <v>1</v>
      </c>
      <c r="M41" s="59">
        <f>4-COUNTBLANK(Men_5[[#This Row],[RD4 XCO Ohal]:[RD7 XCO O''Halloran]])</f>
        <v>2</v>
      </c>
      <c r="N41" s="59">
        <f>2-COUNTBLANK(Men_5[[#This Row],[RD8 XCO Fox Creek]:[RD9 XCO Willowie]])</f>
        <v>0</v>
      </c>
      <c r="O41" s="59" cm="1">
        <f t="array" ref="O41">IF(Men_5[[#This Row],[Number of Rounds]]&lt;=6,SUM(IF(ISNA(B41:J41),0,B41:J41)),SUM(LARGE(B41:J41,{1,2,3,4,5,6})))</f>
        <v>637</v>
      </c>
      <c r="P41" s="59" cm="1">
        <f t="array" ref="P41">IF(Men_5[[#This Row],[Number of Rounds XCM]]&lt;=3,SUM(IF(ISNA(E41:H41),0,E41:H41)),SUM(LARGE(E41:H41,{1,2,3})))</f>
        <v>434</v>
      </c>
      <c r="Q41" s="59">
        <f>SUM(Men_5[[#This Row],[RD8 XCO Fox Creek]:[RD9 XCO Willowie]])</f>
        <v>0</v>
      </c>
      <c r="R41" s="59">
        <f>Men_5[[#This Row],[Best 6 of 8 Overall]]+Men_5[[#This Row],[Best 3 of 4 XCM]]+Men_5[[#This Row],[Total of 2 XCO]]</f>
        <v>1071</v>
      </c>
      <c r="S41" s="134" cm="1">
        <f t="array" ref="S41">68-SUM(IF(O41&gt;$O$18:$O$212,1/COUNTIF($O$18:$O$212,$O$18:$O$212)))</f>
        <v>21.999999999999829</v>
      </c>
      <c r="T41" s="18"/>
      <c r="U41" s="103" t="s">
        <v>251</v>
      </c>
      <c r="V41" s="77" t="str">
        <f>_xlfn.IFNA(INDEX('RD1 Eagle'!$I$2:$I$154,MATCH(Women6[[#This Row],[Rider]],'RD1 Eagle'!$F$2:$F$154,0)),"")</f>
        <v/>
      </c>
      <c r="W41" s="38">
        <f>_xlfn.IFNA(INDEX('RD2 Shepherds'!$I$2:$I$143,MATCH(Women6[[#This Row],[Rider]],'RD2 Shepherds'!$F$2:$F$143,0)),"")</f>
        <v>273</v>
      </c>
      <c r="X41" s="34" t="str">
        <f>_xlfn.IFNA(INDEX('RD3 XCO Sheps'!$I$2:$I$190,MATCH(Women6[[#This Row],[Rider]],'RD3 XCO Sheps'!$F$2:$F$190,0)),"")</f>
        <v/>
      </c>
      <c r="Y41" s="34" t="str">
        <f>_xlfn.IFNA(INDEX('RD4 Ohalloran'!$I$2:$I$184,MATCH(Women6[[#This Row],[Rider]],'RD4 Ohalloran'!$F$2:$F$184,0)),"")</f>
        <v/>
      </c>
      <c r="Z41" s="34" t="str">
        <f>_xlfn.IFNA(INDEX('RD5 Craigburn'!$I$2:$I$164,MATCH(Women6[[#This Row],[Rider]],'RD5 Craigburn'!$F$2:$F$164,0)),"")</f>
        <v/>
      </c>
      <c r="AA41" s="34" t="str">
        <f>_xlfn.IFNA(INDEX('RD6 Kinchina'!$I$2:$I$199,MATCH(Women6[[#This Row],[Rider]],'RD6 Kinchina'!$F$2:$F$199,0)),"")</f>
        <v/>
      </c>
      <c r="AB41" s="34" t="str">
        <f>_xlfn.IFNA(INDEX('RD7 O''Hallaron'!$I$2:$I$190,MATCH(Women6[[#This Row],[Rider]],'RD7 O''Hallaron'!$F$2:$F$201,0)),"")</f>
        <v/>
      </c>
      <c r="AC41" s="34" t="str">
        <f>_xlfn.IFNA(INDEX('RD8 Fox Creek'!$I$2:$I$204,MATCH(Women6[[#This Row],[Rider]],'RD8 Fox Creek'!$F$2:$F$204,0)),"")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XCO Sheps]])</f>
        <v>1</v>
      </c>
      <c r="AG41" s="57">
        <f>4-COUNTBLANK(Women6[[#This Row],[RD4 XCO Ohal]:[RD7 XCO O''Halloran]])</f>
        <v>0</v>
      </c>
      <c r="AH41" s="57">
        <f>2-COUNTBLANK(Women6[[#This Row],[RD8 XCO Fox Creek]:[RD9 XCO Willowie]])</f>
        <v>0</v>
      </c>
      <c r="AI41" s="57" cm="1">
        <f t="array" ref="AI41">IF(Women6[[#This Row],[Number of Rounds]]&lt;=6,SUM(IF(ISNA(V41:AD41),0,V41:AD41)),SUM(LARGE(V41:AD41,{1,2,3,4,5,6})))</f>
        <v>273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Fox Creek]:[RD9 XCO Willowie]])</f>
        <v>0</v>
      </c>
      <c r="AL41" s="57">
        <f>Women6[[#This Row],[Best 3 of 4 XCM]]+Women6[[#This Row],[Best 6 of 8 Overall]]+Women6[[#This Row],[Total of 2 XCO]]</f>
        <v>273</v>
      </c>
      <c r="AM41" s="134" cm="1">
        <f t="array" ref="AM41">29-SUM(IF(AI41&gt;$AI$18:$AI$52,1/COUNTIF($AI$18:$AI$52,$AI$18:$AI$52)))</f>
        <v>23</v>
      </c>
      <c r="AN41" s="18"/>
      <c r="AO41" s="103" t="s">
        <v>321</v>
      </c>
      <c r="AP41" s="69" t="str">
        <f>_xlfn.IFNA(INDEX('RD1 Eagle'!$I$2:$I$154,MATCH(Junior7[[#This Row],[Rider]],'RD1 Eagle'!$F$2:$F$154,0)),"")</f>
        <v/>
      </c>
      <c r="AQ41" s="69" t="str">
        <f>_xlfn.IFNA(INDEX('RD2 Shepherds'!$I$2:$I$143,MATCH(Junior7[[#This Row],[Rider]],'RD2 Shepherds'!$F$2:$F$143,0)),"")</f>
        <v/>
      </c>
      <c r="AR41" s="34" t="str">
        <f>_xlfn.IFNA(INDEX('RD3 XCO Sheps'!$I$2:$I$190,MATCH(Junior7[[#This Row],[Rider]],'RD3 XCO Sheps'!$F$2:$F$190,0)),"")</f>
        <v/>
      </c>
      <c r="AS41" s="34" t="str">
        <f>_xlfn.IFNA(INDEX('RD4 Ohalloran'!$I$2:$I$184,MATCH(Junior7[[#This Row],[Rider]],'RD4 Ohalloran'!$F$2:$F$184,0)),"")</f>
        <v/>
      </c>
      <c r="AT41" s="34">
        <f>_xlfn.IFNA(INDEX('RD5 Craigburn'!$I$2:$I$168,MATCH(Junior7[[#This Row],[Rider]],'RD5 Craigburn'!$F$2:$F$168,0)),"")</f>
        <v>250</v>
      </c>
      <c r="AU41" s="57" t="str">
        <f>_xlfn.IFNA(INDEX('RD6 Kinchina'!$I$2:$I$199,MATCH(Junior7[[#This Row],[Rider]],'RD6 Kinchina'!$F$2:$F$199,0)),"")</f>
        <v/>
      </c>
      <c r="AV41" s="57" t="str">
        <f>_xlfn.IFNA(INDEX('RD7 O''Hallaron'!$I$2:$I$190,MATCH(Junior7[[#This Row],[Rider]],'RD7 O''Hallaron'!$F$2:$F$201,0)),"")</f>
        <v/>
      </c>
      <c r="AW41" s="57" t="str">
        <f>_xlfn.IFNA(INDEX('RD8 Fox Creek'!$I$2:$I$204,MATCH(Junior7[[#This Row],[Rider]],'RD8 Fox Creek'!$F$2:$F$204,0)),"")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3">
        <f>3-COUNTBLANK(Junior7[[#This Row],[RD1 XCC Eagle]:[RD3 XCO Sheps]])</f>
        <v>0</v>
      </c>
      <c r="BA41" s="93">
        <f>4-COUNTBLANK(Junior7[[#This Row],[RD4 XCO Ohal]:[RD7 XCO O''Halloran]])</f>
        <v>1</v>
      </c>
      <c r="BB41" s="93">
        <f>2-COUNTBLANK(Junior7[[#This Row],[RD8 XCO Fox Creek]:[RD9 XCO Willowie]])</f>
        <v>0</v>
      </c>
      <c r="BC41" s="71" cm="1">
        <f t="array" ref="BC41">IF(Junior7[[#This Row],[Number of Rounds]]&lt;=6,SUM(IF(ISNA(AP41:AX41),0,AP41:AX41)),SUM(LARGE(AP41:AX41,{1,2,3,4,5,6})))</f>
        <v>250</v>
      </c>
      <c r="BD41" s="93" cm="1">
        <f t="array" ref="BD41">IF(Junior7[[#This Row],[Number of XCM Rounds]]&lt;=3,SUM(IF(ISNA(AS41:AV41),0,AS41:AV41)),SUM(LARGE(AS41:AV41,{1,2,3})))</f>
        <v>250</v>
      </c>
      <c r="BE41" s="93">
        <f>SUM(Junior7[[#This Row],[RD8 XCO Fox Creek]:[RD9 XCO Willowie]])</f>
        <v>0</v>
      </c>
      <c r="BF41" s="87">
        <f>Junior7[[#This Row],[Best 3 of 4 XCM]]+Junior7[[#This Row],[Best 6 of 8 Overall]]+Junior7[[#This Row],[Total of 2 XCO]]</f>
        <v>500</v>
      </c>
      <c r="BG41" s="37" cm="1">
        <f t="array" ref="BG41">23-SUM(IF(BC41&gt;$BC$18:$BC$71,1/COUNTIF($BC$18:$BC$71,$BC$18:$BC$71)))</f>
        <v>22</v>
      </c>
      <c r="BH41" s="18"/>
    </row>
    <row r="42" spans="1:60" ht="16" x14ac:dyDescent="0.2">
      <c r="A42" s="103" t="s">
        <v>162</v>
      </c>
      <c r="B42" s="38">
        <f>_xlfn.IFNA(INDEX('RD1 Eagle'!$I$2:$I$154,MATCH(Men_5[[#This Row],[Rider]],'RD1 Eagle'!$F$2:$F$154,0)),"")</f>
        <v>315</v>
      </c>
      <c r="C42" s="38">
        <f>_xlfn.IFNA(INDEX('RD2 Shepherds'!$I$2:$I$143,MATCH(Men_5[[#This Row],[Rider]],'RD2 Shepherds'!$F$2:$F$143,0)),"")</f>
        <v>300</v>
      </c>
      <c r="D42" s="38" t="str">
        <f>_xlfn.IFNA(INDEX('RD3 XCO Sheps'!$I$2:$I$190,MATCH(Men_5[[#This Row],[Rider]],'RD3 XCO Sheps'!$F$2:$F$190,0)),"")</f>
        <v/>
      </c>
      <c r="E42" s="38" t="str">
        <f>_xlfn.IFNA(INDEX('RD4 Ohalloran'!$I$2:$I$180,MATCH(Men_5[[#This Row],[Rider]],'RD4 Ohalloran'!$F$2:$F$180,0)),"")</f>
        <v/>
      </c>
      <c r="F42" s="38" t="str">
        <f>_xlfn.IFNA(INDEX('RD5 Craigburn'!$I$2:$I$164,MATCH(Men_5[[#This Row],[Rider]],'RD5 Craigburn'!$F$2:$F$164,0)),"")</f>
        <v/>
      </c>
      <c r="G42" s="38" t="str">
        <f>_xlfn.IFNA(INDEX('RD6 Kinchina'!$I$2:$I$200,MATCH(Men_5[[#This Row],[Rider]],'RD6 Kinchina'!$F$2:$F$200,0)),"")</f>
        <v/>
      </c>
      <c r="H42" s="38" t="str">
        <f>_xlfn.IFNA(INDEX('RD7 O''Hallaron'!$I$2:$I$190,MATCH(Men_5[[#This Row],[Rider]],'RD7 O''Hallaron'!$F$2:$F$201,0)),"")</f>
        <v/>
      </c>
      <c r="I42" s="38" t="str">
        <f>_xlfn.IFNA(INDEX('RD8 Fox Creek'!$I$2:$I$204,MATCH(Men_5[[#This Row],[Rider]],'RD8 Fox Creek'!$F$2:$F$204,0)),"")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2</v>
      </c>
      <c r="L42" s="59">
        <f>3-COUNTBLANK(Men_5[[#This Row],[RD1 XCC Eagle]:[RD3 XCO Sheps]])</f>
        <v>2</v>
      </c>
      <c r="M42" s="59">
        <f>4-COUNTBLANK(Men_5[[#This Row],[RD4 XCO Ohal]:[RD7 XCO O''Halloran]])</f>
        <v>0</v>
      </c>
      <c r="N42" s="59">
        <f>2-COUNTBLANK(Men_5[[#This Row],[RD8 XCO Fox Creek]:[RD9 XCO Willowie]])</f>
        <v>0</v>
      </c>
      <c r="O42" s="59" cm="1">
        <f t="array" ref="O42">IF(Men_5[[#This Row],[Number of Rounds]]&lt;=6,SUM(IF(ISNA(B42:J42),0,B42:J42)),SUM(LARGE(B42:J42,{1,2,3,4,5,6})))</f>
        <v>615</v>
      </c>
      <c r="P42" s="59" cm="1">
        <f t="array" ref="P42">IF(Men_5[[#This Row],[Number of Rounds XCM]]&lt;=3,SUM(IF(ISNA(E42:H42),0,E42:H42)),SUM(LARGE(E42:H42,{1,2,3})))</f>
        <v>0</v>
      </c>
      <c r="Q42" s="59">
        <f>SUM(Men_5[[#This Row],[RD8 XCO Fox Creek]:[RD9 XCO Willowie]])</f>
        <v>0</v>
      </c>
      <c r="R42" s="59">
        <f>Men_5[[#This Row],[Best 6 of 8 Overall]]+Men_5[[#This Row],[Best 3 of 4 XCM]]+Men_5[[#This Row],[Total of 2 XCO]]</f>
        <v>615</v>
      </c>
      <c r="S42" s="134" cm="1">
        <f t="array" ref="S42">68-SUM(IF(O42&gt;$O$18:$O$212,1/COUNTIF($O$18:$O$212,$O$18:$O$212)))</f>
        <v>22.999999999999829</v>
      </c>
      <c r="T42" s="18"/>
      <c r="U42" s="103" t="s">
        <v>173</v>
      </c>
      <c r="V42" s="77">
        <f>_xlfn.IFNA(INDEX('RD1 Eagle'!$I$2:$I$154,MATCH(Women6[[#This Row],[Rider]],'RD1 Eagle'!$F$2:$F$154,0)),"")</f>
        <v>273</v>
      </c>
      <c r="W42" s="38" t="str">
        <f>_xlfn.IFNA(INDEX('RD2 Shepherds'!$I$2:$I$143,MATCH(Women6[[#This Row],[Rider]],'RD2 Shepherds'!$F$2:$F$143,0)),"")</f>
        <v/>
      </c>
      <c r="X42" s="38" t="str">
        <f>_xlfn.IFNA(INDEX('RD3 XCO Sheps'!$I$2:$I$190,MATCH(Women6[[#This Row],[Rider]],'RD3 XCO Sheps'!$F$2:$F$190,0)),"")</f>
        <v/>
      </c>
      <c r="Y42" s="38" t="str">
        <f>_xlfn.IFNA(INDEX('RD4 Ohalloran'!$I$2:$I$184,MATCH(Women6[[#This Row],[Rider]],'RD4 Ohalloran'!$F$2:$F$184,0)),"")</f>
        <v/>
      </c>
      <c r="Z42" s="38" t="str">
        <f>_xlfn.IFNA(INDEX('RD5 Craigburn'!$I$2:$I$164,MATCH(Women6[[#This Row],[Rider]],'RD5 Craigburn'!$F$2:$F$164,0)),"")</f>
        <v/>
      </c>
      <c r="AA42" s="38" t="str">
        <f>_xlfn.IFNA(INDEX('RD6 Kinchina'!$I$2:$I$199,MATCH(Women6[[#This Row],[Rider]],'RD6 Kinchina'!$F$2:$F$199,0)),"")</f>
        <v/>
      </c>
      <c r="AB42" s="38" t="str">
        <f>_xlfn.IFNA(INDEX('RD7 O''Hallaron'!$I$2:$I$190,MATCH(Women6[[#This Row],[Rider]],'RD7 O''Hallaron'!$F$2:$F$201,0)),"")</f>
        <v/>
      </c>
      <c r="AC42" s="38" t="str">
        <f>_xlfn.IFNA(INDEX('RD8 Fox Creek'!$I$2:$I$204,MATCH(Women6[[#This Row],[Rider]],'RD8 Fox Creek'!$F$2:$F$204,0)),"")</f>
        <v/>
      </c>
      <c r="AD42" s="38" t="str">
        <f>_xlfn.IFNA(INDEX('RD9 XCM Melrose W'!$I$2:$I$194,MATCH(Women6[[#This Row],[Rider]],'RD9 XCM Melrose W'!$F$2:$F$194,0)),"")</f>
        <v/>
      </c>
      <c r="AE42" s="38">
        <f>9-COUNTBLANK(Women6[[#This Row],[RD1 XCC Eagle]:[RD9 XCO Willowie]])</f>
        <v>1</v>
      </c>
      <c r="AF42" s="59">
        <f>3-COUNTBLANK(Women6[[#This Row],[RD1 XCC Eagle]:[RD3 XCO Sheps]])</f>
        <v>1</v>
      </c>
      <c r="AG42" s="59">
        <f>4-COUNTBLANK(Women6[[#This Row],[RD4 XCO Ohal]:[RD7 XCO O''Halloran]])</f>
        <v>0</v>
      </c>
      <c r="AH42" s="59">
        <f>2-COUNTBLANK(Women6[[#This Row],[RD8 XCO Fox Creek]:[RD9 XCO Willowie]])</f>
        <v>0</v>
      </c>
      <c r="AI42" s="59" cm="1">
        <f t="array" ref="AI42">IF(Women6[[#This Row],[Number of Rounds]]&lt;=6,SUM(IF(ISNA(V42:AD42),0,V42:AD42)),SUM(LARGE(V42:AD42,{1,2,3,4,5,6})))</f>
        <v>273</v>
      </c>
      <c r="AJ42" s="59" cm="1">
        <f t="array" ref="AJ42">IF(Women6[[#This Row],[Number of XCM Rounds]]&lt;=3,SUM(IF(ISNA(Y42:AB42),0,Y42:AB42)),SUM(LARGE(Y42:AB42,{1,2,3})))</f>
        <v>0</v>
      </c>
      <c r="AK42" s="59">
        <f>SUM(Women6[[#This Row],[RD8 XCO Fox Creek]:[RD9 XCO Willowie]])</f>
        <v>0</v>
      </c>
      <c r="AL42" s="59">
        <f>Women6[[#This Row],[Best 3 of 4 XCM]]+Women6[[#This Row],[Best 6 of 8 Overall]]+Women6[[#This Row],[Total of 2 XCO]]</f>
        <v>273</v>
      </c>
      <c r="AM42" s="134" cm="1">
        <f t="array" ref="AM42">29-SUM(IF(AI42&gt;$AI$18:$AI$52,1/COUNTIF($AI$18:$AI$52,$AI$18:$AI$52)))</f>
        <v>23</v>
      </c>
      <c r="AN42" s="18"/>
      <c r="AO42" s="103" t="s">
        <v>322</v>
      </c>
      <c r="AP42" s="70" t="str">
        <f>_xlfn.IFNA(INDEX('RD1 Eagle'!$I$2:$I$154,MATCH(Junior7[[#This Row],[Rider]],'RD1 Eagle'!$F$2:$F$154,0)),"")</f>
        <v/>
      </c>
      <c r="AQ42" s="34" t="str">
        <f>_xlfn.IFNA(INDEX('RD2 Shepherds'!$I$2:$I$143,MATCH(Junior7[[#This Row],[Rider]],'RD2 Shepherds'!$F$2:$F$143,0)),"")</f>
        <v/>
      </c>
      <c r="AR42" s="34" t="str">
        <f>_xlfn.IFNA(INDEX('RD3 XCO Sheps'!$I$2:$I$190,MATCH(Junior7[[#This Row],[Rider]],'RD3 XCO Sheps'!$F$2:$F$190,0)),"")</f>
        <v/>
      </c>
      <c r="AS42" s="34" t="str">
        <f>_xlfn.IFNA(INDEX('RD4 Ohalloran'!$I$2:$I$184,MATCH(Junior7[[#This Row],[Rider]],'RD4 Ohalloran'!$F$2:$F$184,0)),"")</f>
        <v/>
      </c>
      <c r="AT42" s="34">
        <f>_xlfn.IFNA(INDEX('RD5 Craigburn'!$I$2:$I$168,MATCH(Junior7[[#This Row],[Rider]],'RD5 Craigburn'!$F$2:$F$168,0)),"")</f>
        <v>250</v>
      </c>
      <c r="AU42" s="57" t="str">
        <f>_xlfn.IFNA(INDEX('RD6 Kinchina'!$I$2:$I$199,MATCH(Junior7[[#This Row],[Rider]],'RD6 Kinchina'!$F$2:$F$199,0)),"")</f>
        <v/>
      </c>
      <c r="AV42" s="57" t="str">
        <f>_xlfn.IFNA(INDEX('RD7 O''Hallaron'!$I$2:$I$190,MATCH(Junior7[[#This Row],[Rider]],'RD7 O''Hallaron'!$F$2:$F$201,0)),"")</f>
        <v/>
      </c>
      <c r="AW42" s="57" t="str">
        <f>_xlfn.IFNA(INDEX('RD8 Fox Creek'!$I$2:$I$204,MATCH(Junior7[[#This Row],[Rider]],'RD8 Fox Creek'!$F$2:$F$204,0)),"")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3">
        <f>3-COUNTBLANK(Junior7[[#This Row],[RD1 XCC Eagle]:[RD3 XCO Sheps]])</f>
        <v>0</v>
      </c>
      <c r="BA42" s="93">
        <f>4-COUNTBLANK(Junior7[[#This Row],[RD4 XCO Ohal]:[RD7 XCO O''Halloran]])</f>
        <v>1</v>
      </c>
      <c r="BB42" s="93">
        <f>2-COUNTBLANK(Junior7[[#This Row],[RD8 XCO Fox Creek]:[RD9 XCO Willowie]])</f>
        <v>0</v>
      </c>
      <c r="BC42" s="71" cm="1">
        <f t="array" ref="BC42">IF(Junior7[[#This Row],[Number of Rounds]]&lt;=6,SUM(IF(ISNA(AP42:AX42),0,AP42:AX42)),SUM(LARGE(AP42:AX42,{1,2,3,4,5,6})))</f>
        <v>250</v>
      </c>
      <c r="BD42" s="93" cm="1">
        <f t="array" ref="BD42">IF(Junior7[[#This Row],[Number of XCM Rounds]]&lt;=3,SUM(IF(ISNA(AS42:AV42),0,AS42:AV42)),SUM(LARGE(AS42:AV42,{1,2,3})))</f>
        <v>250</v>
      </c>
      <c r="BE42" s="93">
        <f>SUM(Junior7[[#This Row],[RD8 XCO Fox Creek]:[RD9 XCO Willowie]])</f>
        <v>0</v>
      </c>
      <c r="BF42" s="87">
        <f>Junior7[[#This Row],[Best 3 of 4 XCM]]+Junior7[[#This Row],[Best 6 of 8 Overall]]+Junior7[[#This Row],[Total of 2 XCO]]</f>
        <v>500</v>
      </c>
      <c r="BG42" s="37" cm="1">
        <f t="array" ref="BG42">23-SUM(IF(BC42&gt;$BC$18:$BC$71,1/COUNTIF($BC$18:$BC$71,$BC$18:$BC$71)))</f>
        <v>22</v>
      </c>
      <c r="BH42" s="18"/>
    </row>
    <row r="43" spans="1:60" ht="16" x14ac:dyDescent="0.2">
      <c r="A43" s="103" t="s">
        <v>226</v>
      </c>
      <c r="B43" s="38" t="str">
        <f>_xlfn.IFNA(INDEX('RD1 Eagle'!$I$2:$I$154,MATCH(Men_5[[#This Row],[Rider]],'RD1 Eagle'!$F$2:$F$154,0)),"")</f>
        <v/>
      </c>
      <c r="C43" s="38">
        <f>_xlfn.IFNA(INDEX('RD2 Shepherds'!$I$2:$I$143,MATCH(Men_5[[#This Row],[Rider]],'RD2 Shepherds'!$F$2:$F$143,0)),"")</f>
        <v>285</v>
      </c>
      <c r="D43" s="38" t="str">
        <f>_xlfn.IFNA(INDEX('RD3 XCO Sheps'!$I$2:$I$190,MATCH(Men_5[[#This Row],[Rider]],'RD3 XCO Sheps'!$F$2:$F$190,0)),"")</f>
        <v/>
      </c>
      <c r="E43" s="38">
        <f>_xlfn.IFNA(INDEX('RD4 Ohalloran'!$I$2:$I$180,MATCH(Men_5[[#This Row],[Rider]],'RD4 Ohalloran'!$F$2:$F$180,0)),"")</f>
        <v>292.5</v>
      </c>
      <c r="F43" s="38" t="str">
        <f>_xlfn.IFNA(INDEX('RD5 Craigburn'!$I$2:$I$164,MATCH(Men_5[[#This Row],[Rider]],'RD5 Craigburn'!$F$2:$F$164,0)),"")</f>
        <v/>
      </c>
      <c r="G43" s="38" t="str">
        <f>_xlfn.IFNA(INDEX('RD6 Kinchina'!$I$2:$I$200,MATCH(Men_5[[#This Row],[Rider]],'RD6 Kinchina'!$F$2:$F$200,0)),"")</f>
        <v/>
      </c>
      <c r="H43" s="38" t="str">
        <f>_xlfn.IFNA(INDEX('RD7 O''Hallaron'!$I$2:$I$190,MATCH(Men_5[[#This Row],[Rider]],'RD7 O''Hallaron'!$F$2:$F$201,0)),"")</f>
        <v/>
      </c>
      <c r="I43" s="38" t="str">
        <f>_xlfn.IFNA(INDEX('RD8 Fox Creek'!$I$2:$I$204,MATCH(Men_5[[#This Row],[Rider]],'RD8 Fox Creek'!$F$2:$F$204,0)),"")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2</v>
      </c>
      <c r="L43" s="59">
        <f>3-COUNTBLANK(Men_5[[#This Row],[RD1 XCC Eagle]:[RD3 XCO Sheps]])</f>
        <v>1</v>
      </c>
      <c r="M43" s="59">
        <f>4-COUNTBLANK(Men_5[[#This Row],[RD4 XCO Ohal]:[RD7 XCO O''Halloran]])</f>
        <v>1</v>
      </c>
      <c r="N43" s="59">
        <f>2-COUNTBLANK(Men_5[[#This Row],[RD8 XCO Fox Creek]:[RD9 XCO Willowie]])</f>
        <v>0</v>
      </c>
      <c r="O43" s="59" cm="1">
        <f t="array" ref="O43">IF(Men_5[[#This Row],[Number of Rounds]]&lt;=6,SUM(IF(ISNA(B43:J43),0,B43:J43)),SUM(LARGE(B43:J43,{1,2,3,4,5,6})))</f>
        <v>577.5</v>
      </c>
      <c r="P43" s="59" cm="1">
        <f t="array" ref="P43">IF(Men_5[[#This Row],[Number of Rounds XCM]]&lt;=3,SUM(IF(ISNA(E43:H43),0,E43:H43)),SUM(LARGE(E43:H43,{1,2,3})))</f>
        <v>292.5</v>
      </c>
      <c r="Q43" s="59">
        <f>SUM(Men_5[[#This Row],[RD8 XCO Fox Creek]:[RD9 XCO Willowie]])</f>
        <v>0</v>
      </c>
      <c r="R43" s="59">
        <f>Men_5[[#This Row],[Best 6 of 8 Overall]]+Men_5[[#This Row],[Best 3 of 4 XCM]]+Men_5[[#This Row],[Total of 2 XCO]]</f>
        <v>870</v>
      </c>
      <c r="S43" s="134" cm="1">
        <f t="array" ref="S43">68-SUM(IF(O43&gt;$O$18:$O$212,1/COUNTIF($O$18:$O$212,$O$18:$O$212)))</f>
        <v>23.999999999999829</v>
      </c>
      <c r="T43" s="18"/>
      <c r="U43" s="103" t="s">
        <v>252</v>
      </c>
      <c r="V43" s="77" t="str">
        <f>_xlfn.IFNA(INDEX('RD1 Eagle'!$I$2:$I$154,MATCH(Women6[[#This Row],[Rider]],'RD1 Eagle'!$F$2:$F$154,0)),"")</f>
        <v/>
      </c>
      <c r="W43" s="38">
        <f>_xlfn.IFNA(INDEX('RD2 Shepherds'!$I$2:$I$143,MATCH(Women6[[#This Row],[Rider]],'RD2 Shepherds'!$F$2:$F$143,0)),"")</f>
        <v>251.99999999999997</v>
      </c>
      <c r="X43" s="34" t="str">
        <f>_xlfn.IFNA(INDEX('RD3 XCO Sheps'!$I$2:$I$190,MATCH(Women6[[#This Row],[Rider]],'RD3 XCO Sheps'!$F$2:$F$190,0)),"")</f>
        <v/>
      </c>
      <c r="Y43" s="34" t="str">
        <f>_xlfn.IFNA(INDEX('RD4 Ohalloran'!$I$2:$I$184,MATCH(Women6[[#This Row],[Rider]],'RD4 Ohalloran'!$F$2:$F$184,0)),"")</f>
        <v/>
      </c>
      <c r="Z43" s="34" t="str">
        <f>_xlfn.IFNA(INDEX('RD5 Craigburn'!$I$2:$I$164,MATCH(Women6[[#This Row],[Rider]],'RD5 Craigburn'!$F$2:$F$164,0)),"")</f>
        <v/>
      </c>
      <c r="AA43" s="34" t="str">
        <f>_xlfn.IFNA(INDEX('RD6 Kinchina'!$I$2:$I$199,MATCH(Women6[[#This Row],[Rider]],'RD6 Kinchina'!$F$2:$F$199,0)),"")</f>
        <v/>
      </c>
      <c r="AB43" s="34" t="str">
        <f>_xlfn.IFNA(INDEX('RD7 O''Hallaron'!$I$2:$I$190,MATCH(Women6[[#This Row],[Rider]],'RD7 O''Hallaron'!$F$2:$F$201,0)),"")</f>
        <v/>
      </c>
      <c r="AC43" s="34" t="str">
        <f>_xlfn.IFNA(INDEX('RD8 Fox Creek'!$I$2:$I$204,MATCH(Women6[[#This Row],[Rider]],'RD8 Fox Creek'!$F$2:$F$204,0)),"")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XCO Sheps]])</f>
        <v>1</v>
      </c>
      <c r="AG43" s="57">
        <f>4-COUNTBLANK(Women6[[#This Row],[RD4 XCO Ohal]:[RD7 XCO O''Halloran]])</f>
        <v>0</v>
      </c>
      <c r="AH43" s="57">
        <f>2-COUNTBLANK(Women6[[#This Row],[RD8 XCO Fox Creek]:[RD9 XCO Willowie]])</f>
        <v>0</v>
      </c>
      <c r="AI43" s="57" cm="1">
        <f t="array" ref="AI43">IF(Women6[[#This Row],[Number of Rounds]]&lt;=6,SUM(IF(ISNA(V43:AD43),0,V43:AD43)),SUM(LARGE(V43:AD43,{1,2,3,4,5,6})))</f>
        <v>251.99999999999997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Fox Creek]:[RD9 XCO Willowie]])</f>
        <v>0</v>
      </c>
      <c r="AL43" s="57">
        <f>Women6[[#This Row],[Best 3 of 4 XCM]]+Women6[[#This Row],[Best 6 of 8 Overall]]+Women6[[#This Row],[Total of 2 XCO]]</f>
        <v>251.99999999999997</v>
      </c>
      <c r="AM43" s="134" cm="1">
        <f t="array" ref="AM43">29-SUM(IF(AI43&gt;$AI$18:$AI$52,1/COUNTIF($AI$18:$AI$52,$AI$18:$AI$52)))</f>
        <v>24</v>
      </c>
      <c r="AN43" s="18"/>
      <c r="AO43" s="103"/>
      <c r="AP43" s="70" t="str">
        <f>_xlfn.IFNA(INDEX('RD1 Eagle'!$I$2:$I$154,MATCH(Junior7[[#This Row],[Rider]],'RD1 Eagle'!$F$2:$F$154,0)),"")</f>
        <v/>
      </c>
      <c r="AQ43" s="34" t="str">
        <f>_xlfn.IFNA(INDEX('RD2 Shepherds'!$I$2:$I$143,MATCH(Junior7[[#This Row],[Rider]],'RD2 Shepherds'!$F$2:$F$143,0)),"")</f>
        <v/>
      </c>
      <c r="AR43" s="34" t="str">
        <f>_xlfn.IFNA(INDEX('RD3 XCO Sheps'!$I$2:$I$190,MATCH(Junior7[[#This Row],[Rider]],'RD3 XCO Sheps'!$F$2:$F$190,0)),"")</f>
        <v/>
      </c>
      <c r="AS43" s="34" t="str">
        <f>_xlfn.IFNA(INDEX('RD4 Ohalloran'!$I$2:$I$184,MATCH(Junior7[[#This Row],[Rider]],'RD4 Ohalloran'!$F$2:$F$184,0)),"")</f>
        <v/>
      </c>
      <c r="AT43" s="34" t="str">
        <f>_xlfn.IFNA(INDEX('RD5 Craigburn'!$I$2:$I$168,MATCH(Junior7[[#This Row],[Rider]],'RD5 Craigburn'!$F$2:$F$168,0)),"")</f>
        <v/>
      </c>
      <c r="AU43" s="57" t="str">
        <f>_xlfn.IFNA(INDEX('RD6 Kinchina'!$I$2:$I$199,MATCH(Junior7[[#This Row],[Rider]],'RD6 Kinchina'!$F$2:$F$199,0)),"")</f>
        <v/>
      </c>
      <c r="AV43" s="57" t="str">
        <f>_xlfn.IFNA(INDEX('RD7 O''Hallaron'!$I$2:$I$190,MATCH(Junior7[[#This Row],[Rider]],'RD7 O''Hallaron'!$F$2:$F$201,0)),"")</f>
        <v/>
      </c>
      <c r="AW43" s="57" t="str">
        <f>_xlfn.IFNA(INDEX('RD8 Fox Creek'!$I$2:$I$204,MATCH(Junior7[[#This Row],[Rider]],'RD8 Fox Creek'!$F$2:$F$204,0)),"")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0</v>
      </c>
      <c r="AZ43" s="93">
        <f>3-COUNTBLANK(Junior7[[#This Row],[RD1 XCC Eagle]:[RD3 XCO Sheps]])</f>
        <v>0</v>
      </c>
      <c r="BA43" s="93">
        <f>4-COUNTBLANK(Junior7[[#This Row],[RD4 XCO Ohal]:[RD7 XCO O''Halloran]])</f>
        <v>0</v>
      </c>
      <c r="BB43" s="93">
        <f>2-COUNTBLANK(Junior7[[#This Row],[RD8 XCO Fox Creek]:[RD9 XCO Willowie]])</f>
        <v>0</v>
      </c>
      <c r="BC43" s="71" cm="1">
        <f t="array" ref="BC43">IF(Junior7[[#This Row],[Number of Rounds]]&lt;=6,SUM(IF(ISNA(AP43:AX43),0,AP43:AX43)),SUM(LARGE(AP43:AX43,{1,2,3,4,5,6})))</f>
        <v>0</v>
      </c>
      <c r="BD43" s="93" cm="1">
        <f t="array" ref="BD43">IF(Junior7[[#This Row],[Number of XCM Rounds]]&lt;=3,SUM(IF(ISNA(AS43:AV43),0,AS43:AV43)),SUM(LARGE(AS43:AV43,{1,2,3})))</f>
        <v>0</v>
      </c>
      <c r="BE43" s="93">
        <f>SUM(Junior7[[#This Row],[RD8 XCO Fox Creek]:[RD9 XCO Willowie]])</f>
        <v>0</v>
      </c>
      <c r="BF43" s="87">
        <f>Junior7[[#This Row],[Best 3 of 4 XCM]]+Junior7[[#This Row],[Best 6 of 8 Overall]]+Junior7[[#This Row],[Total of 2 XCO]]</f>
        <v>0</v>
      </c>
      <c r="BG43" s="37" cm="1">
        <f t="array" ref="BG43">23-SUM(IF(BC43&gt;$BC$18:$BC$71,1/COUNTIF($BC$18:$BC$71,$BC$18:$BC$71)))</f>
        <v>23</v>
      </c>
      <c r="BH43" s="18"/>
    </row>
    <row r="44" spans="1:60" ht="16" x14ac:dyDescent="0.2">
      <c r="A44" s="103" t="s">
        <v>279</v>
      </c>
      <c r="B44" s="38" t="str">
        <f>_xlfn.IFNA(INDEX('RD1 Eagle'!$I$2:$I$154,MATCH(Men_5[[#This Row],[Rider]],'RD1 Eagle'!$F$2:$F$154,0)),"")</f>
        <v/>
      </c>
      <c r="C44" s="38" t="str">
        <f>_xlfn.IFNA(INDEX('RD2 Shepherds'!$I$2:$I$143,MATCH(Men_5[[#This Row],[Rider]],'RD2 Shepherds'!$F$2:$F$143,0)),"")</f>
        <v/>
      </c>
      <c r="D44" s="38" t="str">
        <f>_xlfn.IFNA(INDEX('RD3 XCO Sheps'!$I$2:$I$190,MATCH(Men_5[[#This Row],[Rider]],'RD3 XCO Sheps'!$F$2:$F$190,0)),"")</f>
        <v/>
      </c>
      <c r="E44" s="38">
        <f>_xlfn.IFNA(INDEX('RD4 Ohalloran'!$I$2:$I$180,MATCH(Men_5[[#This Row],[Rider]],'RD4 Ohalloran'!$F$2:$F$180,0)),"")</f>
        <v>280</v>
      </c>
      <c r="F44" s="38">
        <f>_xlfn.IFNA(INDEX('RD5 Craigburn'!$I$2:$I$164,MATCH(Men_5[[#This Row],[Rider]],'RD5 Craigburn'!$F$2:$F$164,0)),"")</f>
        <v>294</v>
      </c>
      <c r="G44" s="38" t="str">
        <f>_xlfn.IFNA(INDEX('RD6 Kinchina'!$I$2:$I$200,MATCH(Men_5[[#This Row],[Rider]],'RD6 Kinchina'!$F$2:$F$200,0)),"")</f>
        <v/>
      </c>
      <c r="H44" s="38" t="str">
        <f>_xlfn.IFNA(INDEX('RD7 O''Hallaron'!$I$2:$I$190,MATCH(Men_5[[#This Row],[Rider]],'RD7 O''Hallaron'!$F$2:$F$201,0)),"")</f>
        <v/>
      </c>
      <c r="I44" s="38" t="str">
        <f>_xlfn.IFNA(INDEX('RD8 Fox Creek'!$I$2:$I$204,MATCH(Men_5[[#This Row],[Rider]],'RD8 Fox Creek'!$F$2:$F$204,0)),"")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2</v>
      </c>
      <c r="L44" s="59">
        <f>3-COUNTBLANK(Men_5[[#This Row],[RD1 XCC Eagle]:[RD3 XCO Sheps]])</f>
        <v>0</v>
      </c>
      <c r="M44" s="59">
        <f>4-COUNTBLANK(Men_5[[#This Row],[RD4 XCO Ohal]:[RD7 XCO O''Halloran]])</f>
        <v>2</v>
      </c>
      <c r="N44" s="59">
        <f>2-COUNTBLANK(Men_5[[#This Row],[RD8 XCO Fox Creek]:[RD9 XCO Willowie]])</f>
        <v>0</v>
      </c>
      <c r="O44" s="59" cm="1">
        <f t="array" ref="O44">IF(Men_5[[#This Row],[Number of Rounds]]&lt;=6,SUM(IF(ISNA(B44:J44),0,B44:J44)),SUM(LARGE(B44:J44,{1,2,3,4,5,6})))</f>
        <v>574</v>
      </c>
      <c r="P44" s="59" cm="1">
        <f t="array" ref="P44">IF(Men_5[[#This Row],[Number of Rounds XCM]]&lt;=3,SUM(IF(ISNA(E44:H44),0,E44:H44)),SUM(LARGE(E44:H44,{1,2,3})))</f>
        <v>574</v>
      </c>
      <c r="Q44" s="59">
        <f>SUM(Men_5[[#This Row],[RD8 XCO Fox Creek]:[RD9 XCO Willowie]])</f>
        <v>0</v>
      </c>
      <c r="R44" s="59">
        <f>Men_5[[#This Row],[Best 6 of 8 Overall]]+Men_5[[#This Row],[Best 3 of 4 XCM]]+Men_5[[#This Row],[Total of 2 XCO]]</f>
        <v>1148</v>
      </c>
      <c r="S44" s="134" cm="1">
        <f t="array" ref="S44">68-SUM(IF(O44&gt;$O$18:$O$212,1/COUNTIF($O$18:$O$212,$O$18:$O$212)))</f>
        <v>24.999999999999829</v>
      </c>
      <c r="T44" s="18"/>
      <c r="U44" s="103" t="s">
        <v>253</v>
      </c>
      <c r="V44" s="77" t="str">
        <f>_xlfn.IFNA(INDEX('RD1 Eagle'!$I$2:$I$154,MATCH(Women6[[#This Row],[Rider]],'RD1 Eagle'!$F$2:$F$154,0)),"")</f>
        <v/>
      </c>
      <c r="W44" s="38">
        <f>_xlfn.IFNA(INDEX('RD2 Shepherds'!$I$2:$I$143,MATCH(Women6[[#This Row],[Rider]],'RD2 Shepherds'!$F$2:$F$143,0)),"")</f>
        <v>244.99999999999997</v>
      </c>
      <c r="X44" s="38" t="str">
        <f>_xlfn.IFNA(INDEX('RD3 XCO Sheps'!$I$2:$I$190,MATCH(Women6[[#This Row],[Rider]],'RD3 XCO Sheps'!$F$2:$F$190,0)),"")</f>
        <v/>
      </c>
      <c r="Y44" s="38" t="str">
        <f>_xlfn.IFNA(INDEX('RD4 Ohalloran'!$I$2:$I$184,MATCH(Women6[[#This Row],[Rider]],'RD4 Ohalloran'!$F$2:$F$184,0)),"")</f>
        <v/>
      </c>
      <c r="Z44" s="38" t="str">
        <f>_xlfn.IFNA(INDEX('RD5 Craigburn'!$I$2:$I$164,MATCH(Women6[[#This Row],[Rider]],'RD5 Craigburn'!$F$2:$F$164,0)),"")</f>
        <v/>
      </c>
      <c r="AA44" s="38" t="str">
        <f>_xlfn.IFNA(INDEX('RD6 Kinchina'!$I$2:$I$199,MATCH(Women6[[#This Row],[Rider]],'RD6 Kinchina'!$F$2:$F$199,0)),"")</f>
        <v/>
      </c>
      <c r="AB44" s="38" t="str">
        <f>_xlfn.IFNA(INDEX('RD7 O''Hallaron'!$I$2:$I$190,MATCH(Women6[[#This Row],[Rider]],'RD7 O''Hallaron'!$F$2:$F$201,0)),"")</f>
        <v/>
      </c>
      <c r="AC44" s="38" t="str">
        <f>_xlfn.IFNA(INDEX('RD8 Fox Creek'!$I$2:$I$204,MATCH(Women6[[#This Row],[Rider]],'RD8 Fox Creek'!$F$2:$F$204,0)),"")</f>
        <v/>
      </c>
      <c r="AD44" s="38" t="str">
        <f>_xlfn.IFNA(INDEX('RD9 XCM Melrose W'!$I$2:$I$194,MATCH(Women6[[#This Row],[Rider]],'RD9 XCM Melrose W'!$F$2:$F$194,0)),"")</f>
        <v/>
      </c>
      <c r="AE44" s="38">
        <f>9-COUNTBLANK(Women6[[#This Row],[RD1 XCC Eagle]:[RD9 XCO Willowie]])</f>
        <v>1</v>
      </c>
      <c r="AF44" s="59">
        <f>3-COUNTBLANK(Women6[[#This Row],[RD1 XCC Eagle]:[RD3 XCO Sheps]])</f>
        <v>1</v>
      </c>
      <c r="AG44" s="59">
        <f>4-COUNTBLANK(Women6[[#This Row],[RD4 XCO Ohal]:[RD7 XCO O''Halloran]])</f>
        <v>0</v>
      </c>
      <c r="AH44" s="59">
        <f>2-COUNTBLANK(Women6[[#This Row],[RD8 XCO Fox Creek]:[RD9 XCO Willowie]])</f>
        <v>0</v>
      </c>
      <c r="AI44" s="57" cm="1">
        <f t="array" ref="AI44">IF(Women6[[#This Row],[Number of Rounds]]&lt;=6,SUM(IF(ISNA(V44:AD44),0,V44:AD44)),SUM(LARGE(V44:AD44,{1,2,3,4,5,6})))</f>
        <v>244.99999999999997</v>
      </c>
      <c r="AJ44" s="59" cm="1">
        <f t="array" ref="AJ44">IF(Women6[[#This Row],[Number of XCM Rounds]]&lt;=3,SUM(IF(ISNA(Y44:AB44),0,Y44:AB44)),SUM(LARGE(Y44:AB44,{1,2,3})))</f>
        <v>0</v>
      </c>
      <c r="AK44" s="59">
        <f>SUM(Women6[[#This Row],[RD8 XCO Fox Creek]:[RD9 XCO Willowie]])</f>
        <v>0</v>
      </c>
      <c r="AL44" s="59">
        <f>Women6[[#This Row],[Best 3 of 4 XCM]]+Women6[[#This Row],[Best 6 of 8 Overall]]+Women6[[#This Row],[Total of 2 XCO]]</f>
        <v>244.99999999999997</v>
      </c>
      <c r="AM44" s="134" cm="1">
        <f t="array" ref="AM44">29-SUM(IF(AI44&gt;$AI$18:$AI$52,1/COUNTIF($AI$18:$AI$52,$AI$18:$AI$52)))</f>
        <v>25</v>
      </c>
      <c r="AN44" s="18"/>
      <c r="AO44" s="103"/>
      <c r="AP44" s="70" t="str">
        <f>_xlfn.IFNA(INDEX('RD1 Eagle'!$I$2:$I$154,MATCH(Junior7[[#This Row],[Rider]],'RD1 Eagle'!$F$2:$F$154,0)),"")</f>
        <v/>
      </c>
      <c r="AQ44" s="34" t="str">
        <f>_xlfn.IFNA(INDEX('RD2 Shepherds'!$I$2:$I$143,MATCH(Junior7[[#This Row],[Rider]],'RD2 Shepherds'!$F$2:$F$143,0)),"")</f>
        <v/>
      </c>
      <c r="AR44" s="34" t="str">
        <f>_xlfn.IFNA(INDEX('RD3 XCO Sheps'!$I$2:$I$190,MATCH(Junior7[[#This Row],[Rider]],'RD3 XCO Sheps'!$F$2:$F$190,0)),"")</f>
        <v/>
      </c>
      <c r="AS44" s="34" t="str">
        <f>_xlfn.IFNA(INDEX('RD4 Ohalloran'!$I$2:$I$184,MATCH(Junior7[[#This Row],[Rider]],'RD4 Ohalloran'!$F$2:$F$184,0)),"")</f>
        <v/>
      </c>
      <c r="AT44" s="34" t="str">
        <f>_xlfn.IFNA(INDEX('RD5 Craigburn'!$I$2:$I$168,MATCH(Junior7[[#This Row],[Rider]],'RD5 Craigburn'!$F$2:$F$168,0)),"")</f>
        <v/>
      </c>
      <c r="AU44" s="57" t="str">
        <f>_xlfn.IFNA(INDEX('RD6 Kinchina'!$I$2:$I$199,MATCH(Junior7[[#This Row],[Rider]],'RD6 Kinchina'!$F$2:$F$199,0)),"")</f>
        <v/>
      </c>
      <c r="AV44" s="57" t="str">
        <f>_xlfn.IFNA(INDEX('RD7 O''Hallaron'!$I$2:$I$190,MATCH(Junior7[[#This Row],[Rider]],'RD7 O''Hallaron'!$F$2:$F$201,0)),"")</f>
        <v/>
      </c>
      <c r="AW44" s="57" t="str">
        <f>_xlfn.IFNA(INDEX('RD8 Fox Creek'!$I$2:$I$204,MATCH(Junior7[[#This Row],[Rider]],'RD8 Fox Creek'!$F$2:$F$204,0)),"")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0</v>
      </c>
      <c r="AZ44" s="47">
        <f>3-COUNTBLANK(Junior7[[#This Row],[RD1 XCC Eagle]:[RD3 XCO Sheps]])</f>
        <v>0</v>
      </c>
      <c r="BA44" s="47">
        <f>4-COUNTBLANK(Junior7[[#This Row],[RD4 XCO Ohal]:[RD7 XCO O''Halloran]])</f>
        <v>0</v>
      </c>
      <c r="BB44" s="47">
        <f>2-COUNTBLANK(Junior7[[#This Row],[RD8 XCO Fox Creek]:[RD9 XCO Willowie]])</f>
        <v>0</v>
      </c>
      <c r="BC44" s="76" cm="1">
        <f t="array" ref="BC44">IF(Junior7[[#This Row],[Number of Rounds]]&lt;=6,SUM(IF(ISNA(AP44:AX44),0,AP44:AX44)),SUM(LARGE(AP44:AX44,{1,2,3,4,5,6})))</f>
        <v>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Fox Creek]:[RD9 XCO Willowie]])</f>
        <v>0</v>
      </c>
      <c r="BF44" s="47">
        <f>Junior7[[#This Row],[Best 3 of 4 XCM]]+Junior7[[#This Row],[Best 6 of 8 Overall]]+Junior7[[#This Row],[Total of 2 XCO]]</f>
        <v>0</v>
      </c>
      <c r="BG44" s="37" cm="1">
        <f t="array" ref="BG44">23-SUM(IF(BC44&gt;$BC$18:$BC$71,1/COUNTIF($BC$18:$BC$71,$BC$18:$BC$71)))</f>
        <v>23</v>
      </c>
      <c r="BH44" s="18"/>
    </row>
    <row r="45" spans="1:60" ht="16" x14ac:dyDescent="0.2">
      <c r="A45" s="103" t="s">
        <v>161</v>
      </c>
      <c r="B45" s="38">
        <f>_xlfn.IFNA(INDEX('RD1 Eagle'!$I$2:$I$154,MATCH(Men_5[[#This Row],[Rider]],'RD1 Eagle'!$F$2:$F$154,0)),"")</f>
        <v>300</v>
      </c>
      <c r="C45" s="38">
        <f>_xlfn.IFNA(INDEX('RD2 Shepherds'!$I$2:$I$143,MATCH(Men_5[[#This Row],[Rider]],'RD2 Shepherds'!$F$2:$F$143,0)),"")</f>
        <v>270</v>
      </c>
      <c r="D45" s="38" t="str">
        <f>_xlfn.IFNA(INDEX('RD3 XCO Sheps'!$I$2:$I$190,MATCH(Men_5[[#This Row],[Rider]],'RD3 XCO Sheps'!$F$2:$F$190,0)),"")</f>
        <v/>
      </c>
      <c r="E45" s="38" t="str">
        <f>_xlfn.IFNA(INDEX('RD4 Ohalloran'!$I$2:$I$180,MATCH(Men_5[[#This Row],[Rider]],'RD4 Ohalloran'!$F$2:$F$180,0)),"")</f>
        <v/>
      </c>
      <c r="F45" s="38" t="str">
        <f>_xlfn.IFNA(INDEX('RD5 Craigburn'!$I$2:$I$164,MATCH(Men_5[[#This Row],[Rider]],'RD5 Craigburn'!$F$2:$F$164,0)),"")</f>
        <v/>
      </c>
      <c r="G45" s="38" t="str">
        <f>_xlfn.IFNA(INDEX('RD6 Kinchina'!$I$2:$I$200,MATCH(Men_5[[#This Row],[Rider]],'RD6 Kinchina'!$F$2:$F$200,0)),"")</f>
        <v/>
      </c>
      <c r="H45" s="38" t="str">
        <f>_xlfn.IFNA(INDEX('RD7 O''Hallaron'!$I$2:$I$190,MATCH(Men_5[[#This Row],[Rider]],'RD7 O''Hallaron'!$F$2:$F$201,0)),"")</f>
        <v/>
      </c>
      <c r="I45" s="38" t="str">
        <f>_xlfn.IFNA(INDEX('RD8 Fox Creek'!$I$2:$I$204,MATCH(Men_5[[#This Row],[Rider]],'RD8 Fox Creek'!$F$2:$F$204,0)),"")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2</v>
      </c>
      <c r="L45" s="59">
        <f>3-COUNTBLANK(Men_5[[#This Row],[RD1 XCC Eagle]:[RD3 XCO Sheps]])</f>
        <v>2</v>
      </c>
      <c r="M45" s="59">
        <f>4-COUNTBLANK(Men_5[[#This Row],[RD4 XCO Ohal]:[RD7 XCO O''Halloran]])</f>
        <v>0</v>
      </c>
      <c r="N45" s="59">
        <f>2-COUNTBLANK(Men_5[[#This Row],[RD8 XCO Fox Creek]:[RD9 XCO Willowie]])</f>
        <v>0</v>
      </c>
      <c r="O45" s="59" cm="1">
        <f t="array" ref="O45">IF(Men_5[[#This Row],[Number of Rounds]]&lt;=6,SUM(IF(ISNA(B45:J45),0,B45:J45)),SUM(LARGE(B45:J45,{1,2,3,4,5,6})))</f>
        <v>570</v>
      </c>
      <c r="P45" s="59" cm="1">
        <f t="array" ref="P45">IF(Men_5[[#This Row],[Number of Rounds XCM]]&lt;=3,SUM(IF(ISNA(E45:H45),0,E45:H45)),SUM(LARGE(E45:H45,{1,2,3})))</f>
        <v>0</v>
      </c>
      <c r="Q45" s="59">
        <f>SUM(Men_5[[#This Row],[RD8 XCO Fox Creek]:[RD9 XCO Willowie]])</f>
        <v>0</v>
      </c>
      <c r="R45" s="59">
        <f>Men_5[[#This Row],[Best 6 of 8 Overall]]+Men_5[[#This Row],[Best 3 of 4 XCM]]+Men_5[[#This Row],[Total of 2 XCO]]</f>
        <v>570</v>
      </c>
      <c r="S45" s="134" cm="1">
        <f t="array" ref="S45">68-SUM(IF(O45&gt;$O$18:$O$212,1/COUNTIF($O$18:$O$212,$O$18:$O$212)))</f>
        <v>25.999999999999829</v>
      </c>
      <c r="T45" s="18"/>
      <c r="U45" s="103" t="s">
        <v>254</v>
      </c>
      <c r="V45" s="109" t="str">
        <f>_xlfn.IFNA(INDEX('RD1 Eagle'!$I$2:$I$154,MATCH(Women6[[#This Row],[Rider]],'RD1 Eagle'!$F$2:$F$154,0)),"")</f>
        <v/>
      </c>
      <c r="W45" s="104">
        <f>_xlfn.IFNA(INDEX('RD2 Shepherds'!$I$2:$I$143,MATCH(Women6[[#This Row],[Rider]],'RD2 Shepherds'!$F$2:$F$143,0)),"")</f>
        <v>237.99999999999997</v>
      </c>
      <c r="X45" s="105" t="str">
        <f>_xlfn.IFNA(INDEX('RD3 XCO Sheps'!$I$2:$I$190,MATCH(Women6[[#This Row],[Rider]],'RD3 XCO Sheps'!$F$2:$F$190,0)),"")</f>
        <v/>
      </c>
      <c r="Y45" s="105" t="str">
        <f>_xlfn.IFNA(INDEX('RD4 Ohalloran'!$I$2:$I$184,MATCH(Women6[[#This Row],[Rider]],'RD4 Ohalloran'!$F$2:$F$184,0)),"")</f>
        <v/>
      </c>
      <c r="Z45" s="105" t="str">
        <f>_xlfn.IFNA(INDEX('RD5 Craigburn'!$I$2:$I$164,MATCH(Women6[[#This Row],[Rider]],'RD5 Craigburn'!$F$2:$F$164,0)),"")</f>
        <v/>
      </c>
      <c r="AA45" s="105" t="str">
        <f>_xlfn.IFNA(INDEX('RD6 Kinchina'!$I$2:$I$199,MATCH(Women6[[#This Row],[Rider]],'RD6 Kinchina'!$F$2:$F$199,0)),"")</f>
        <v/>
      </c>
      <c r="AB45" s="105" t="str">
        <f>_xlfn.IFNA(INDEX('RD7 O''Hallaron'!$I$2:$I$190,MATCH(Women6[[#This Row],[Rider]],'RD7 O''Hallaron'!$F$2:$F$201,0)),"")</f>
        <v/>
      </c>
      <c r="AC45" s="105" t="str">
        <f>_xlfn.IFNA(INDEX('RD8 Fox Creek'!$I$2:$I$204,MATCH(Women6[[#This Row],[Rider]],'RD8 Fox Creek'!$F$2:$F$204,0)),"")</f>
        <v/>
      </c>
      <c r="AD45" s="105" t="str">
        <f>_xlfn.IFNA(INDEX('RD9 XCM Melrose W'!$I$2:$I$194,MATCH(Women6[[#This Row],[Rider]],'RD9 XCM Melrose W'!$F$2:$F$194,0)),"")</f>
        <v/>
      </c>
      <c r="AE45" s="105">
        <f>9-COUNTBLANK(Women6[[#This Row],[RD1 XCC Eagle]:[RD9 XCO Willowie]])</f>
        <v>1</v>
      </c>
      <c r="AF45" s="148">
        <f>3-COUNTBLANK(Women6[[#This Row],[RD1 XCC Eagle]:[RD3 XCO Sheps]])</f>
        <v>1</v>
      </c>
      <c r="AG45" s="148">
        <f>4-COUNTBLANK(Women6[[#This Row],[RD4 XCO Ohal]:[RD7 XCO O''Halloran]])</f>
        <v>0</v>
      </c>
      <c r="AH45" s="148">
        <f>2-COUNTBLANK(Women6[[#This Row],[RD8 XCO Fox Creek]:[RD9 XCO Willowie]])</f>
        <v>0</v>
      </c>
      <c r="AI45" s="57" cm="1">
        <f t="array" ref="AI45">IF(Women6[[#This Row],[Number of Rounds]]&lt;=6,SUM(IF(ISNA(V45:AD45),0,V45:AD45)),SUM(LARGE(V45:AD45,{1,2,3,4,5,6})))</f>
        <v>237.99999999999997</v>
      </c>
      <c r="AJ45" s="148" cm="1">
        <f t="array" ref="AJ45">IF(Women6[[#This Row],[Number of XCM Rounds]]&lt;=3,SUM(IF(ISNA(Y45:AB45),0,Y45:AB45)),SUM(LARGE(Y45:AB45,{1,2,3})))</f>
        <v>0</v>
      </c>
      <c r="AK45" s="148">
        <f>SUM(Women6[[#This Row],[RD8 XCO Fox Creek]:[RD9 XCO Willowie]])</f>
        <v>0</v>
      </c>
      <c r="AL45" s="148">
        <f>Women6[[#This Row],[Best 3 of 4 XCM]]+Women6[[#This Row],[Best 6 of 8 Overall]]+Women6[[#This Row],[Total of 2 XCO]]</f>
        <v>237.99999999999997</v>
      </c>
      <c r="AM45" s="134" cm="1">
        <f t="array" ref="AM45">29-SUM(IF(AI45&gt;$AI$18:$AI$52,1/COUNTIF($AI$18:$AI$52,$AI$18:$AI$52)))</f>
        <v>26</v>
      </c>
      <c r="AN45" s="18"/>
      <c r="AO45" s="103"/>
      <c r="AP45" s="70" t="str">
        <f>_xlfn.IFNA(INDEX('RD1 Eagle'!$I$2:$I$154,MATCH(Junior7[[#This Row],[Rider]],'RD1 Eagle'!$F$2:$F$154,0)),"")</f>
        <v/>
      </c>
      <c r="AQ45" s="34" t="str">
        <f>_xlfn.IFNA(INDEX('RD2 Shepherds'!$I$2:$I$143,MATCH(Junior7[[#This Row],[Rider]],'RD2 Shepherds'!$F$2:$F$143,0)),"")</f>
        <v/>
      </c>
      <c r="AR45" s="34" t="str">
        <f>_xlfn.IFNA(INDEX('RD3 XCO Sheps'!$I$2:$I$190,MATCH(Junior7[[#This Row],[Rider]],'RD3 XCO Sheps'!$F$2:$F$190,0)),"")</f>
        <v/>
      </c>
      <c r="AS45" s="34" t="str">
        <f>_xlfn.IFNA(INDEX('RD4 Ohalloran'!$I$2:$I$184,MATCH(Junior7[[#This Row],[Rider]],'RD4 Ohalloran'!$F$2:$F$184,0)),"")</f>
        <v/>
      </c>
      <c r="AT45" s="34" t="str">
        <f>_xlfn.IFNA(INDEX('RD5 Craigburn'!$I$2:$I$168,MATCH(Junior7[[#This Row],[Rider]],'RD5 Craigburn'!$F$2:$F$168,0)),"")</f>
        <v/>
      </c>
      <c r="AU45" s="57" t="str">
        <f>_xlfn.IFNA(INDEX('RD6 Kinchina'!$I$2:$I$199,MATCH(Junior7[[#This Row],[Rider]],'RD6 Kinchina'!$F$2:$F$199,0)),"")</f>
        <v/>
      </c>
      <c r="AV45" s="57" t="str">
        <f>_xlfn.IFNA(INDEX('RD7 O''Hallaron'!$I$2:$I$190,MATCH(Junior7[[#This Row],[Rider]],'RD7 O''Hallaron'!$F$2:$F$201,0)),"")</f>
        <v/>
      </c>
      <c r="AW45" s="57" t="str">
        <f>_xlfn.IFNA(INDEX('RD8 Fox Creek'!$I$2:$I$204,MATCH(Junior7[[#This Row],[Rider]],'RD8 Fox Creek'!$F$2:$F$204,0)),"")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0</v>
      </c>
      <c r="AZ45" s="24">
        <f>3-COUNTBLANK(Junior7[[#This Row],[RD1 XCC Eagle]:[RD3 XCO Sheps]])</f>
        <v>0</v>
      </c>
      <c r="BA45" s="24">
        <f>4-COUNTBLANK(Junior7[[#This Row],[RD4 XCO Ohal]:[RD7 XCO O''Halloran]])</f>
        <v>0</v>
      </c>
      <c r="BB45" s="24">
        <f>2-COUNTBLANK(Junior7[[#This Row],[RD8 XCO Fox Creek]:[RD9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Fox Creek]:[RD9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23-SUM(IF(BC45&gt;$BC$18:$BC$71,1/COUNTIF($BC$18:$BC$71,$BC$18:$BC$71)))</f>
        <v>23</v>
      </c>
      <c r="BH45" s="18"/>
    </row>
    <row r="46" spans="1:60" ht="16" x14ac:dyDescent="0.2">
      <c r="A46" s="103" t="s">
        <v>276</v>
      </c>
      <c r="B46" s="38" t="str">
        <f>_xlfn.IFNA(INDEX('RD1 Eagle'!$I$2:$I$154,MATCH(Men_5[[#This Row],[Rider]],'RD1 Eagle'!$F$2:$F$154,0)),"")</f>
        <v/>
      </c>
      <c r="C46" s="38" t="str">
        <f>_xlfn.IFNA(INDEX('RD2 Shepherds'!$I$2:$I$143,MATCH(Men_5[[#This Row],[Rider]],'RD2 Shepherds'!$F$2:$F$143,0)),"")</f>
        <v/>
      </c>
      <c r="D46" s="38" t="str">
        <f>_xlfn.IFNA(INDEX('RD3 XCO Sheps'!$I$2:$I$190,MATCH(Men_5[[#This Row],[Rider]],'RD3 XCO Sheps'!$F$2:$F$190,0)),"")</f>
        <v/>
      </c>
      <c r="E46" s="38">
        <f>_xlfn.IFNA(INDEX('RD4 Ohalloran'!$I$2:$I$180,MATCH(Men_5[[#This Row],[Rider]],'RD4 Ohalloran'!$F$2:$F$180,0)),"")</f>
        <v>270</v>
      </c>
      <c r="F46" s="38">
        <f>_xlfn.IFNA(INDEX('RD5 Craigburn'!$I$2:$I$164,MATCH(Men_5[[#This Row],[Rider]],'RD5 Craigburn'!$F$2:$F$164,0)),"")</f>
        <v>300</v>
      </c>
      <c r="G46" s="38" t="str">
        <f>_xlfn.IFNA(INDEX('RD6 Kinchina'!$I$2:$I$200,MATCH(Men_5[[#This Row],[Rider]],'RD6 Kinchina'!$F$2:$F$200,0)),"")</f>
        <v/>
      </c>
      <c r="H46" s="38" t="str">
        <f>_xlfn.IFNA(INDEX('RD7 O''Hallaron'!$I$2:$I$190,MATCH(Men_5[[#This Row],[Rider]],'RD7 O''Hallaron'!$F$2:$F$201,0)),"")</f>
        <v/>
      </c>
      <c r="I46" s="38" t="str">
        <f>_xlfn.IFNA(INDEX('RD8 Fox Creek'!$I$2:$I$204,MATCH(Men_5[[#This Row],[Rider]],'RD8 Fox Creek'!$F$2:$F$204,0)),"")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2</v>
      </c>
      <c r="L46" s="59">
        <f>3-COUNTBLANK(Men_5[[#This Row],[RD1 XCC Eagle]:[RD3 XCO Sheps]])</f>
        <v>0</v>
      </c>
      <c r="M46" s="59">
        <f>4-COUNTBLANK(Men_5[[#This Row],[RD4 XCO Ohal]:[RD7 XCO O''Halloran]])</f>
        <v>2</v>
      </c>
      <c r="N46" s="59">
        <f>2-COUNTBLANK(Men_5[[#This Row],[RD8 XCO Fox Creek]:[RD9 XCO Willowie]])</f>
        <v>0</v>
      </c>
      <c r="O46" s="59" cm="1">
        <f t="array" ref="O46">IF(Men_5[[#This Row],[Number of Rounds]]&lt;=6,SUM(IF(ISNA(B46:J46),0,B46:J46)),SUM(LARGE(B46:J46,{1,2,3,4,5,6})))</f>
        <v>570</v>
      </c>
      <c r="P46" s="59" cm="1">
        <f t="array" ref="P46">IF(Men_5[[#This Row],[Number of Rounds XCM]]&lt;=3,SUM(IF(ISNA(E46:H46),0,E46:H46)),SUM(LARGE(E46:H46,{1,2,3})))</f>
        <v>570</v>
      </c>
      <c r="Q46" s="59">
        <f>SUM(Men_5[[#This Row],[RD8 XCO Fox Creek]:[RD9 XCO Willowie]])</f>
        <v>0</v>
      </c>
      <c r="R46" s="59">
        <f>Men_5[[#This Row],[Best 6 of 8 Overall]]+Men_5[[#This Row],[Best 3 of 4 XCM]]+Men_5[[#This Row],[Total of 2 XCO]]</f>
        <v>1140</v>
      </c>
      <c r="S46" s="134" cm="1">
        <f t="array" ref="S46">68-SUM(IF(O46&gt;$O$18:$O$212,1/COUNTIF($O$18:$O$212,$O$18:$O$212)))</f>
        <v>25.999999999999829</v>
      </c>
      <c r="T46" s="18"/>
      <c r="U46" s="103" t="s">
        <v>308</v>
      </c>
      <c r="V46" s="77" t="str">
        <f>_xlfn.IFNA(INDEX('RD1 Eagle'!$I$2:$I$154,MATCH(Women6[[#This Row],[Rider]],'RD1 Eagle'!$F$2:$F$154,0)),"")</f>
        <v/>
      </c>
      <c r="W46" s="38" t="str">
        <f>_xlfn.IFNA(INDEX('RD2 Shepherds'!$I$2:$I$143,MATCH(Women6[[#This Row],[Rider]],'RD2 Shepherds'!$F$2:$F$143,0)),"")</f>
        <v/>
      </c>
      <c r="X46" s="34" t="str">
        <f>_xlfn.IFNA(INDEX('RD3 XCO Sheps'!$I$2:$I$190,MATCH(Women6[[#This Row],[Rider]],'RD3 XCO Sheps'!$F$2:$F$190,0)),"")</f>
        <v/>
      </c>
      <c r="Y46" s="34" t="str">
        <f>_xlfn.IFNA(INDEX('RD4 Ohalloran'!$I$2:$I$184,MATCH(Women6[[#This Row],[Rider]],'RD4 Ohalloran'!$F$2:$F$184,0)),"")</f>
        <v/>
      </c>
      <c r="Z46" s="34">
        <f>_xlfn.IFNA(INDEX('RD5 Craigburn'!$I$2:$I$164,MATCH(Women6[[#This Row],[Rider]],'RD5 Craigburn'!$F$2:$F$164,0)),"")</f>
        <v>225</v>
      </c>
      <c r="AA46" s="34" t="str">
        <f>_xlfn.IFNA(INDEX('RD6 Kinchina'!$I$2:$I$199,MATCH(Women6[[#This Row],[Rider]],'RD6 Kinchina'!$F$2:$F$199,0)),"")</f>
        <v/>
      </c>
      <c r="AB46" s="34" t="str">
        <f>_xlfn.IFNA(INDEX('RD7 O''Hallaron'!$I$2:$I$190,MATCH(Women6[[#This Row],[Rider]],'RD7 O''Hallaron'!$F$2:$F$201,0)),"")</f>
        <v/>
      </c>
      <c r="AC46" s="34" t="str">
        <f>_xlfn.IFNA(INDEX('RD8 Fox Creek'!$I$2:$I$204,MATCH(Women6[[#This Row],[Rider]],'RD8 Fox Creek'!$F$2:$F$204,0)),"")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1</v>
      </c>
      <c r="AF46" s="57">
        <f>3-COUNTBLANK(Women6[[#This Row],[RD1 XCC Eagle]:[RD3 XCO Sheps]])</f>
        <v>0</v>
      </c>
      <c r="AG46" s="57">
        <f>4-COUNTBLANK(Women6[[#This Row],[RD4 XCO Ohal]:[RD7 XCO O''Halloran]])</f>
        <v>1</v>
      </c>
      <c r="AH46" s="57">
        <f>2-COUNTBLANK(Women6[[#This Row],[RD8 XCO Fox Creek]:[RD9 XCO Willowie]])</f>
        <v>0</v>
      </c>
      <c r="AI46" s="57" cm="1">
        <f t="array" ref="AI46">IF(Women6[[#This Row],[Number of Rounds]]&lt;=6,SUM(IF(ISNA(V46:AD46),0,V46:AD46)),SUM(LARGE(V46:AD46,{1,2,3,4,5,6})))</f>
        <v>225</v>
      </c>
      <c r="AJ46" s="57" cm="1">
        <f t="array" ref="AJ46">IF(Women6[[#This Row],[Number of XCM Rounds]]&lt;=3,SUM(IF(ISNA(Y46:AB46),0,Y46:AB46)),SUM(LARGE(Y46:AB46,{1,2,3})))</f>
        <v>225</v>
      </c>
      <c r="AK46" s="57">
        <f>SUM(Women6[[#This Row],[RD8 XCO Fox Creek]:[RD9 XCO Willowie]])</f>
        <v>0</v>
      </c>
      <c r="AL46" s="57">
        <f>Women6[[#This Row],[Best 3 of 4 XCM]]+Women6[[#This Row],[Best 6 of 8 Overall]]+Women6[[#This Row],[Total of 2 XCO]]</f>
        <v>450</v>
      </c>
      <c r="AM46" s="134" cm="1">
        <f t="array" ref="AM46">29-SUM(IF(AI46&gt;$AI$18:$AI$52,1/COUNTIF($AI$18:$AI$52,$AI$18:$AI$52)))</f>
        <v>27</v>
      </c>
      <c r="AO46" s="103"/>
      <c r="AP46" s="70" t="str">
        <f>_xlfn.IFNA(INDEX('RD1 Eagle'!$I$2:$I$154,MATCH(Junior7[[#This Row],[Rider]],'RD1 Eagle'!$F$2:$F$154,0)),"")</f>
        <v/>
      </c>
      <c r="AQ46" s="76" t="str">
        <f>_xlfn.IFNA(INDEX('RD2 Shepherds'!$I$2:$I$143,MATCH(Junior7[[#This Row],[Rider]],'RD2 Shepherds'!$F$2:$F$143,0)),"")</f>
        <v/>
      </c>
      <c r="AR46" s="76" t="str">
        <f>_xlfn.IFNA(INDEX('RD3 XCO Sheps'!$I$2:$I$190,MATCH(Junior7[[#This Row],[Rider]],'RD3 XCO Sheps'!$F$2:$F$190,0)),"")</f>
        <v/>
      </c>
      <c r="AS46" s="76" t="str">
        <f>_xlfn.IFNA(INDEX('RD4 Ohalloran'!$I$2:$I$184,MATCH(Junior7[[#This Row],[Rider]],'RD4 Ohalloran'!$F$2:$F$184,0)),"")</f>
        <v/>
      </c>
      <c r="AT46" s="76" t="str">
        <f>_xlfn.IFNA(INDEX('RD5 Craigburn'!$I$2:$I$168,MATCH(Junior7[[#This Row],[Rider]],'RD5 Craigburn'!$F$2:$F$168,0)),"")</f>
        <v/>
      </c>
      <c r="AU46" s="100" t="str">
        <f>_xlfn.IFNA(INDEX('RD6 Kinchina'!$I$2:$I$199,MATCH(Junior7[[#This Row],[Rider]],'RD6 Kinchina'!$F$2:$F$199,0)),"")</f>
        <v/>
      </c>
      <c r="AV46" s="100" t="str">
        <f>_xlfn.IFNA(INDEX('RD7 O''Hallaron'!$I$2:$I$190,MATCH(Junior7[[#This Row],[Rider]],'RD7 O''Hallaron'!$F$2:$F$201,0)),"")</f>
        <v/>
      </c>
      <c r="AW46" s="100" t="str">
        <f>_xlfn.IFNA(INDEX('RD8 Fox Creek'!$I$2:$I$204,MATCH(Junior7[[#This Row],[Rider]],'RD8 Fox Creek'!$F$2:$F$204,0)),"")</f>
        <v/>
      </c>
      <c r="AX46" s="34" t="str">
        <f>_xlfn.IFNA(INDEX('RD9 XCM Melrose W'!$I$2:$I$194,MATCH(Junior7[[#This Row],[Rider]],'RD9 XCM Melrose W'!$F$2:$F$194,0)),"")</f>
        <v/>
      </c>
      <c r="AY46" s="86">
        <f>9-COUNTBLANK(Junior7[[#This Row],[RD1 XCC Eagle]:[RD9 XCO Willowie]])</f>
        <v>0</v>
      </c>
      <c r="AZ46" s="47">
        <f>3-COUNTBLANK(Junior7[[#This Row],[RD1 XCC Eagle]:[RD3 XCO Sheps]])</f>
        <v>0</v>
      </c>
      <c r="BA46" s="47">
        <f>4-COUNTBLANK(Junior7[[#This Row],[RD4 XCO Ohal]:[RD7 XCO O''Halloran]])</f>
        <v>0</v>
      </c>
      <c r="BB46" s="47">
        <f>2-COUNTBLANK(Junior7[[#This Row],[RD8 XCO Fox Creek]:[RD9 XCO Willowie]])</f>
        <v>0</v>
      </c>
      <c r="BC46" s="76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Fox Creek]:[RD9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23-SUM(IF(BC46&gt;$BC$18:$BC$71,1/COUNTIF($BC$18:$BC$71,$BC$18:$BC$71)))</f>
        <v>23</v>
      </c>
      <c r="BH46" s="18"/>
    </row>
    <row r="47" spans="1:60" ht="15" customHeight="1" x14ac:dyDescent="0.2">
      <c r="A47" s="103" t="s">
        <v>232</v>
      </c>
      <c r="B47" s="38" t="str">
        <f>_xlfn.IFNA(INDEX('RD1 Eagle'!$I$2:$I$154,MATCH(Men_5[[#This Row],[Rider]],'RD1 Eagle'!$F$2:$F$154,0)),"")</f>
        <v/>
      </c>
      <c r="C47" s="38">
        <f>_xlfn.IFNA(INDEX('RD2 Shepherds'!$I$2:$I$143,MATCH(Men_5[[#This Row],[Rider]],'RD2 Shepherds'!$F$2:$F$143,0)),"")</f>
        <v>259</v>
      </c>
      <c r="D47" s="38" t="str">
        <f>_xlfn.IFNA(INDEX('RD3 XCO Sheps'!$I$2:$I$190,MATCH(Men_5[[#This Row],[Rider]],'RD3 XCO Sheps'!$F$2:$F$190,0)),"")</f>
        <v/>
      </c>
      <c r="E47" s="38">
        <f>_xlfn.IFNA(INDEX('RD4 Ohalloran'!$I$2:$I$180,MATCH(Men_5[[#This Row],[Rider]],'RD4 Ohalloran'!$F$2:$F$180,0)),"")</f>
        <v>294</v>
      </c>
      <c r="F47" s="38" t="str">
        <f>_xlfn.IFNA(INDEX('RD5 Craigburn'!$I$2:$I$164,MATCH(Men_5[[#This Row],[Rider]],'RD5 Craigburn'!$F$2:$F$164,0)),"")</f>
        <v/>
      </c>
      <c r="G47" s="38" t="str">
        <f>_xlfn.IFNA(INDEX('RD6 Kinchina'!$I$2:$I$200,MATCH(Men_5[[#This Row],[Rider]],'RD6 Kinchina'!$F$2:$F$200,0)),"")</f>
        <v/>
      </c>
      <c r="H47" s="38" t="str">
        <f>_xlfn.IFNA(INDEX('RD7 O''Hallaron'!$I$2:$I$190,MATCH(Men_5[[#This Row],[Rider]],'RD7 O''Hallaron'!$F$2:$F$201,0)),"")</f>
        <v/>
      </c>
      <c r="I47" s="38" t="str">
        <f>_xlfn.IFNA(INDEX('RD8 Fox Creek'!$I$2:$I$204,MATCH(Men_5[[#This Row],[Rider]],'RD8 Fox Creek'!$F$2:$F$204,0)),"")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2</v>
      </c>
      <c r="L47" s="59">
        <f>3-COUNTBLANK(Men_5[[#This Row],[RD1 XCC Eagle]:[RD3 XCO Sheps]])</f>
        <v>1</v>
      </c>
      <c r="M47" s="59">
        <f>4-COUNTBLANK(Men_5[[#This Row],[RD4 XCO Ohal]:[RD7 XCO O''Halloran]])</f>
        <v>1</v>
      </c>
      <c r="N47" s="59">
        <f>2-COUNTBLANK(Men_5[[#This Row],[RD8 XCO Fox Creek]:[RD9 XCO Willowie]])</f>
        <v>0</v>
      </c>
      <c r="O47" s="59" cm="1">
        <f t="array" ref="O47">IF(Men_5[[#This Row],[Number of Rounds]]&lt;=6,SUM(IF(ISNA(B47:J47),0,B47:J47)),SUM(LARGE(B47:J47,{1,2,3,4,5,6})))</f>
        <v>553</v>
      </c>
      <c r="P47" s="59" cm="1">
        <f t="array" ref="P47">IF(Men_5[[#This Row],[Number of Rounds XCM]]&lt;=3,SUM(IF(ISNA(E47:H47),0,E47:H47)),SUM(LARGE(E47:H47,{1,2,3})))</f>
        <v>294</v>
      </c>
      <c r="Q47" s="59">
        <f>SUM(Men_5[[#This Row],[RD8 XCO Fox Creek]:[RD9 XCO Willowie]])</f>
        <v>0</v>
      </c>
      <c r="R47" s="59">
        <f>Men_5[[#This Row],[Best 6 of 8 Overall]]+Men_5[[#This Row],[Best 3 of 4 XCM]]+Men_5[[#This Row],[Total of 2 XCO]]</f>
        <v>847</v>
      </c>
      <c r="S47" s="134" cm="1">
        <f t="array" ref="S47">68-SUM(IF(O47&gt;$O$18:$O$212,1/COUNTIF($O$18:$O$212,$O$18:$O$212)))</f>
        <v>26.999999999999837</v>
      </c>
      <c r="T47" s="18"/>
      <c r="U47" s="103" t="s">
        <v>315</v>
      </c>
      <c r="V47" s="77" t="str">
        <f>_xlfn.IFNA(INDEX('RD1 Eagle'!$I$2:$I$154,MATCH(Women6[[#This Row],[Rider]],'RD1 Eagle'!$F$2:$F$154,0)),"")</f>
        <v/>
      </c>
      <c r="W47" s="38" t="str">
        <f>_xlfn.IFNA(INDEX('RD2 Shepherds'!$I$2:$I$143,MATCH(Women6[[#This Row],[Rider]],'RD2 Shepherds'!$F$2:$F$143,0)),"")</f>
        <v/>
      </c>
      <c r="X47" s="34" t="str">
        <f>_xlfn.IFNA(INDEX('RD3 XCO Sheps'!$I$2:$I$190,MATCH(Women6[[#This Row],[Rider]],'RD3 XCO Sheps'!$F$2:$F$190,0)),"")</f>
        <v/>
      </c>
      <c r="Y47" s="34">
        <f>_xlfn.IFNA(INDEX('RD4 Ohalloran'!$I$2:$I$184,MATCH(Women6[[#This Row],[Rider]],'RD4 Ohalloran'!$F$2:$F$184,0)),"")</f>
        <v>210</v>
      </c>
      <c r="Z47" s="34" t="str">
        <f>_xlfn.IFNA(INDEX('RD5 Craigburn'!$I$2:$I$164,MATCH(Women6[[#This Row],[Rider]],'RD5 Craigburn'!$F$2:$F$164,0)),"")</f>
        <v/>
      </c>
      <c r="AA47" s="34" t="str">
        <f>_xlfn.IFNA(INDEX('RD6 Kinchina'!$I$2:$I$199,MATCH(Women6[[#This Row],[Rider]],'RD6 Kinchina'!$F$2:$F$199,0)),"")</f>
        <v/>
      </c>
      <c r="AB47" s="34" t="str">
        <f>_xlfn.IFNA(INDEX('RD7 O''Hallaron'!$I$2:$I$190,MATCH(Women6[[#This Row],[Rider]],'RD7 O''Hallaron'!$F$2:$F$201,0)),"")</f>
        <v/>
      </c>
      <c r="AC47" s="34" t="str">
        <f>_xlfn.IFNA(INDEX('RD8 Fox Creek'!$I$2:$I$204,MATCH(Women6[[#This Row],[Rider]],'RD8 Fox Creek'!$F$2:$F$204,0)),"")</f>
        <v/>
      </c>
      <c r="AD47" s="34" t="str">
        <f>_xlfn.IFNA(INDEX('RD9 XCM Melrose W'!$I$2:$I$194,MATCH(Women6[[#This Row],[Rider]],'RD9 XCM Melrose W'!$F$2:$F$194,0)),"")</f>
        <v/>
      </c>
      <c r="AE47" s="34">
        <f>9-COUNTBLANK(Women6[[#This Row],[RD1 XCC Eagle]:[RD9 XCO Willowie]])</f>
        <v>1</v>
      </c>
      <c r="AF47" s="57">
        <f>3-COUNTBLANK(Women6[[#This Row],[RD1 XCC Eagle]:[RD3 XCO Sheps]])</f>
        <v>0</v>
      </c>
      <c r="AG47" s="57">
        <f>4-COUNTBLANK(Women6[[#This Row],[RD4 XCO Ohal]:[RD7 XCO O''Halloran]])</f>
        <v>1</v>
      </c>
      <c r="AH47" s="57">
        <f>2-COUNTBLANK(Women6[[#This Row],[RD8 XCO Fox Creek]:[RD9 XCO Willowie]])</f>
        <v>0</v>
      </c>
      <c r="AI47" s="57" cm="1">
        <f t="array" ref="AI47">IF(Women6[[#This Row],[Number of Rounds]]&lt;=6,SUM(IF(ISNA(V47:AD47),0,V47:AD47)),SUM(LARGE(V47:AD47,{1,2,3,4,5,6})))</f>
        <v>210</v>
      </c>
      <c r="AJ47" s="57" cm="1">
        <f t="array" ref="AJ47">IF(Women6[[#This Row],[Number of XCM Rounds]]&lt;=3,SUM(IF(ISNA(Y47:AB47),0,Y47:AB47)),SUM(LARGE(Y47:AB47,{1,2,3})))</f>
        <v>210</v>
      </c>
      <c r="AK47" s="57">
        <f>SUM(Women6[[#This Row],[RD8 XCO Fox Creek]:[RD9 XCO Willowie]])</f>
        <v>0</v>
      </c>
      <c r="AL47" s="57">
        <f>Women6[[#This Row],[Best 3 of 4 XCM]]+Women6[[#This Row],[Best 6 of 8 Overall]]+Women6[[#This Row],[Total of 2 XCO]]</f>
        <v>420</v>
      </c>
      <c r="AM47" s="134" cm="1">
        <f t="array" ref="AM47">29-SUM(IF(AI47&gt;$AI$18:$AI$52,1/COUNTIF($AI$18:$AI$52,$AI$18:$AI$52)))</f>
        <v>28</v>
      </c>
      <c r="AN47" s="18"/>
      <c r="AO47" s="103"/>
      <c r="AP47" s="70" t="str">
        <f>_xlfn.IFNA(INDEX('RD1 Eagle'!$I$2:$I$154,MATCH(Junior7[[#This Row],[Rider]],'RD1 Eagle'!$F$2:$F$154,0)),"")</f>
        <v/>
      </c>
      <c r="AQ47" s="34" t="str">
        <f>_xlfn.IFNA(INDEX('RD2 Shepherds'!$I$2:$I$143,MATCH(Junior7[[#This Row],[Rider]],'RD2 Shepherds'!$F$2:$F$143,0)),"")</f>
        <v/>
      </c>
      <c r="AR47" s="34" t="str">
        <f>_xlfn.IFNA(INDEX('RD3 XCO Sheps'!$I$2:$I$190,MATCH(Junior7[[#This Row],[Rider]],'RD3 XCO Sheps'!$F$2:$F$190,0)),"")</f>
        <v/>
      </c>
      <c r="AS47" s="34" t="str">
        <f>_xlfn.IFNA(INDEX('RD4 Ohalloran'!$I$2:$I$184,MATCH(Junior7[[#This Row],[Rider]],'RD4 Ohalloran'!$F$2:$F$184,0)),"")</f>
        <v/>
      </c>
      <c r="AT47" s="34" t="str">
        <f>_xlfn.IFNA(INDEX('RD5 Craigburn'!$I$2:$I$168,MATCH(Junior7[[#This Row],[Rider]],'RD5 Craigburn'!$F$2:$F$168,0)),"")</f>
        <v/>
      </c>
      <c r="AU47" s="34" t="str">
        <f>_xlfn.IFNA(INDEX('RD6 Kinchina'!$I$2:$I$199,MATCH(Junior7[[#This Row],[Rider]],'RD6 Kinchina'!$F$2:$F$199,0)),"")</f>
        <v/>
      </c>
      <c r="AV47" s="34" t="str">
        <f>_xlfn.IFNA(INDEX('RD7 O''Hallaron'!$I$2:$I$190,MATCH(Junior7[[#This Row],[Rider]],'RD7 O''Hallaron'!$F$2:$F$201,0)),"")</f>
        <v/>
      </c>
      <c r="AW47" s="34" t="str">
        <f>_xlfn.IFNA(INDEX('RD8 Fox Creek'!$I$2:$I$204,MATCH(Junior7[[#This Row],[Rider]],'RD8 Fox Creek'!$F$2:$F$204,0)),"")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0</v>
      </c>
      <c r="AZ47" s="24">
        <f>3-COUNTBLANK(Junior7[[#This Row],[RD1 XCC Eagle]:[RD3 XCO Sheps]])</f>
        <v>0</v>
      </c>
      <c r="BA47" s="24">
        <f>4-COUNTBLANK(Junior7[[#This Row],[RD4 XCO Ohal]:[RD7 XCO O''Halloran]])</f>
        <v>0</v>
      </c>
      <c r="BB47" s="24">
        <f>2-COUNTBLANK(Junior7[[#This Row],[RD8 XCO Fox Creek]:[RD9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Fox Creek]:[RD9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23-SUM(IF(BC47&gt;$BC$18:$BC$71,1/COUNTIF($BC$18:$BC$71,$BC$18:$BC$71)))</f>
        <v>23</v>
      </c>
      <c r="BH47" s="18"/>
    </row>
    <row r="48" spans="1:60" ht="16" customHeight="1" x14ac:dyDescent="0.2">
      <c r="A48" s="103" t="s">
        <v>192</v>
      </c>
      <c r="B48" s="165">
        <f>_xlfn.IFNA(INDEX('RD1 Eagle'!$I$2:$I$154,MATCH(Men_5[[#This Row],[Rider]],'RD1 Eagle'!$F$2:$F$154,0)),"")</f>
        <v>280</v>
      </c>
      <c r="C48" s="165">
        <f>_xlfn.IFNA(INDEX('RD2 Shepherds'!$I$2:$I$143,MATCH(Men_5[[#This Row],[Rider]],'RD2 Shepherds'!$F$2:$F$143,0)),"")</f>
        <v>273</v>
      </c>
      <c r="D48" s="165" t="str">
        <f>_xlfn.IFNA(INDEX('RD3 XCO Sheps'!$I$2:$I$190,MATCH(Men_5[[#This Row],[Rider]],'RD3 XCO Sheps'!$F$2:$F$190,0)),"")</f>
        <v/>
      </c>
      <c r="E48" s="165" t="str">
        <f>_xlfn.IFNA(INDEX('RD4 Ohalloran'!$I$2:$I$180,MATCH(Men_5[[#This Row],[Rider]],'RD4 Ohalloran'!$F$2:$F$180,0)),"")</f>
        <v/>
      </c>
      <c r="F48" s="165" t="str">
        <f>_xlfn.IFNA(INDEX('RD5 Craigburn'!$I$2:$I$164,MATCH(Men_5[[#This Row],[Rider]],'RD5 Craigburn'!$F$2:$F$164,0)),"")</f>
        <v/>
      </c>
      <c r="G48" s="165" t="str">
        <f>_xlfn.IFNA(INDEX('RD6 Kinchina'!$I$2:$I$200,MATCH(Men_5[[#This Row],[Rider]],'RD6 Kinchina'!$F$2:$F$200,0)),"")</f>
        <v/>
      </c>
      <c r="H48" s="38" t="str">
        <f>_xlfn.IFNA(INDEX('RD7 O''Hallaron'!$I$2:$I$190,MATCH(Men_5[[#This Row],[Rider]],'RD7 O''Hallaron'!$F$2:$F$201,0)),"")</f>
        <v/>
      </c>
      <c r="I48" s="165" t="str">
        <f>_xlfn.IFNA(INDEX('RD8 Fox Creek'!$I$2:$I$204,MATCH(Men_5[[#This Row],[Rider]],'RD8 Fox Creek'!$F$2:$F$204,0)),"")</f>
        <v/>
      </c>
      <c r="J48" s="38" t="str">
        <f>_xlfn.IFNA(INDEX('RD9 XCM Melrose W'!$I$2:$I$194,MATCH(Men_5[[#This Row],[Rider]],'RD9 XCM Melrose W'!$F$2:$F$194,0)),"")</f>
        <v/>
      </c>
      <c r="K48" s="165">
        <f>9-COUNTBLANK(Men_5[[#This Row],[RD1 XCC Eagle]:[RD9 XCO Willowie]])</f>
        <v>2</v>
      </c>
      <c r="L48" s="59">
        <f>3-COUNTBLANK(Men_5[[#This Row],[RD1 XCC Eagle]:[RD3 XCO Sheps]])</f>
        <v>2</v>
      </c>
      <c r="M48" s="59">
        <f>4-COUNTBLANK(Men_5[[#This Row],[RD4 XCO Ohal]:[RD7 XCO O''Halloran]])</f>
        <v>0</v>
      </c>
      <c r="N48" s="59">
        <f>2-COUNTBLANK(Men_5[[#This Row],[RD8 XCO Fox Creek]:[RD9 XCO Willowie]])</f>
        <v>0</v>
      </c>
      <c r="O48" s="59" cm="1">
        <f t="array" ref="O48">IF(Men_5[[#This Row],[Number of Rounds]]&lt;=6,SUM(IF(ISNA(B48:J48),0,B48:J48)),SUM(LARGE(B48:J48,{1,2,3,4,5,6})))</f>
        <v>553</v>
      </c>
      <c r="P48" s="59" cm="1">
        <f t="array" ref="P48">IF(Men_5[[#This Row],[Number of Rounds XCM]]&lt;=3,SUM(IF(ISNA(E48:H48),0,E48:H48)),SUM(LARGE(E48:H48,{1,2,3})))</f>
        <v>0</v>
      </c>
      <c r="Q48" s="59">
        <f>SUM(Men_5[[#This Row],[RD8 XCO Fox Creek]:[RD9 XCO Willowie]])</f>
        <v>0</v>
      </c>
      <c r="R48" s="166">
        <f>Men_5[[#This Row],[Best 6 of 8 Overall]]+Men_5[[#This Row],[Best 3 of 4 XCM]]+Men_5[[#This Row],[Total of 2 XCO]]</f>
        <v>553</v>
      </c>
      <c r="S48" s="134" cm="1">
        <f t="array" ref="S48">68-SUM(IF(O48&gt;$O$18:$O$212,1/COUNTIF($O$18:$O$212,$O$18:$O$212)))</f>
        <v>26.999999999999837</v>
      </c>
      <c r="T48" s="18"/>
      <c r="U48" s="103" t="s">
        <v>301</v>
      </c>
      <c r="V48" s="38" t="str">
        <f>_xlfn.IFNA(INDEX('RD1 Eagle'!$I$2:$I$154,MATCH(Women6[[#This Row],[Rider]],'RD1 Eagle'!$F$2:$F$154,0)),"")</f>
        <v/>
      </c>
      <c r="W48" s="38" t="str">
        <f>_xlfn.IFNA(INDEX('RD2 Shepherds'!$I$2:$I$143,MATCH(Women6[[#This Row],[Rider]],'RD2 Shepherds'!$F$2:$F$143,0)),"")</f>
        <v/>
      </c>
      <c r="X48" s="34" t="str">
        <f>_xlfn.IFNA(INDEX('RD3 XCO Sheps'!$I$2:$I$190,MATCH(Women6[[#This Row],[Rider]],'RD3 XCO Sheps'!$F$2:$F$190,0)),"")</f>
        <v/>
      </c>
      <c r="Y48" s="34" t="str">
        <f>_xlfn.IFNA(INDEX('RD4 Ohalloran'!$I$2:$I$184,MATCH(Women6[[#This Row],[Rider]],'RD4 Ohalloran'!$F$2:$F$184,0)),"")</f>
        <v/>
      </c>
      <c r="Z48" s="34" t="str">
        <f>_xlfn.IFNA(INDEX('RD5 Craigburn'!$I$2:$I$164,MATCH(Women6[[#This Row],[Rider]],'RD5 Craigburn'!$F$2:$F$164,0)),"")</f>
        <v/>
      </c>
      <c r="AA48" s="34" t="str">
        <f>_xlfn.IFNA(INDEX('RD6 Kinchina'!$I$2:$I$199,MATCH(Women6[[#This Row],[Rider]],'RD6 Kinchina'!$F$2:$F$199,0)),"")</f>
        <v/>
      </c>
      <c r="AB48" s="34" t="str">
        <f>_xlfn.IFNA(INDEX('RD7 O''Hallaron'!$I$2:$I$190,MATCH(Women6[[#This Row],[Rider]],'RD7 O''Hallaron'!$F$2:$F$201,0)),"")</f>
        <v/>
      </c>
      <c r="AC48" s="34" t="str">
        <f>_xlfn.IFNA(INDEX('RD8 Fox Creek'!$I$2:$I$204,MATCH(Women6[[#This Row],[Rider]],'RD8 Fox Creek'!$F$2:$F$204,0)),"")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O''Halloran]])</f>
        <v>0</v>
      </c>
      <c r="AH48" s="57">
        <f>2-COUNTBLANK(Women6[[#This Row],[RD8 XCO Fox Creek]:[RD9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2">
        <f>SUM(Women6[[#This Row],[RD8 XCO Fox Creek]:[RD9 XCO Willowie]])</f>
        <v>0</v>
      </c>
      <c r="AL48" s="99">
        <f>Women6[[#This Row],[Best 3 of 4 XCM]]+Women6[[#This Row],[Best 6 of 8 Overall]]+Women6[[#This Row],[Total of 2 XCO]]</f>
        <v>0</v>
      </c>
      <c r="AM48" s="134" cm="1">
        <f t="array" ref="AM48">29-SUM(IF(AI48&gt;$AI$18:$AI$52,1/COUNTIF($AI$18:$AI$52,$AI$18:$AI$52)))</f>
        <v>29</v>
      </c>
      <c r="AN48" s="45"/>
      <c r="AO48" s="103"/>
      <c r="AP48" s="70" t="str">
        <f>_xlfn.IFNA(INDEX('RD1 Eagle'!$I$2:$I$154,MATCH(Junior7[[#This Row],[Rider]],'RD1 Eagle'!$F$2:$F$154,0)),"")</f>
        <v/>
      </c>
      <c r="AQ48" s="34" t="str">
        <f>_xlfn.IFNA(INDEX('RD2 Shepherds'!$I$2:$I$143,MATCH(Junior7[[#This Row],[Rider]],'RD2 Shepherds'!$F$2:$F$143,0)),"")</f>
        <v/>
      </c>
      <c r="AR48" s="34" t="str">
        <f>_xlfn.IFNA(INDEX('RD3 XCO Sheps'!$I$2:$I$190,MATCH(Junior7[[#This Row],[Rider]],'RD3 XCO Sheps'!$F$2:$F$190,0)),"")</f>
        <v/>
      </c>
      <c r="AS48" s="34" t="str">
        <f>_xlfn.IFNA(INDEX('RD4 Ohalloran'!$I$2:$I$184,MATCH(Junior7[[#This Row],[Rider]],'RD4 Ohalloran'!$F$2:$F$184,0)),"")</f>
        <v/>
      </c>
      <c r="AT48" s="34" t="str">
        <f>_xlfn.IFNA(INDEX('RD5 Craigburn'!$I$2:$I$168,MATCH(Junior7[[#This Row],[Rider]],'RD5 Craigburn'!$F$2:$F$168,0)),"")</f>
        <v/>
      </c>
      <c r="AU48" s="34" t="str">
        <f>_xlfn.IFNA(INDEX('RD6 Kinchina'!$I$2:$I$199,MATCH(Junior7[[#This Row],[Rider]],'RD6 Kinchina'!$F$2:$F$199,0)),"")</f>
        <v/>
      </c>
      <c r="AV48" s="34" t="str">
        <f>_xlfn.IFNA(INDEX('RD7 O''Hallaron'!$I$2:$I$190,MATCH(Junior7[[#This Row],[Rider]],'RD7 O''Hallaron'!$F$2:$F$201,0)),"")</f>
        <v/>
      </c>
      <c r="AW48" s="34" t="str">
        <f>_xlfn.IFNA(INDEX('RD8 Fox Creek'!$I$2:$I$204,MATCH(Junior7[[#This Row],[Rider]],'RD8 Fox Creek'!$F$2:$F$204,0)),"")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0</v>
      </c>
      <c r="AZ48" s="24">
        <f>3-COUNTBLANK(Junior7[[#This Row],[RD1 XCC Eagle]:[RD3 XCO Sheps]])</f>
        <v>0</v>
      </c>
      <c r="BA48" s="24">
        <f>4-COUNTBLANK(Junior7[[#This Row],[RD4 XCO Ohal]:[RD7 XCO O''Halloran]])</f>
        <v>0</v>
      </c>
      <c r="BB48" s="24">
        <f>2-COUNTBLANK(Junior7[[#This Row],[RD8 XCO Fox Creek]:[RD9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Fox Creek]:[RD9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23-SUM(IF(BC48&gt;$BC$18:$BC$71,1/COUNTIF($BC$18:$BC$71,$BC$18:$BC$71)))</f>
        <v>23</v>
      </c>
      <c r="BH48" s="18"/>
    </row>
    <row r="49" spans="1:60" ht="16" customHeight="1" thickBot="1" x14ac:dyDescent="0.25">
      <c r="A49" s="103" t="s">
        <v>182</v>
      </c>
      <c r="B49" s="38">
        <f>_xlfn.IFNA(INDEX('RD1 Eagle'!$I$2:$I$154,MATCH(Men_5[[#This Row],[Rider]],'RD1 Eagle'!$F$2:$F$154,0)),"")</f>
        <v>266</v>
      </c>
      <c r="C49" s="38">
        <f>_xlfn.IFNA(INDEX('RD2 Shepherds'!$I$2:$I$143,MATCH(Men_5[[#This Row],[Rider]],'RD2 Shepherds'!$F$2:$F$143,0)),"")</f>
        <v>280</v>
      </c>
      <c r="D49" s="38" t="str">
        <f>_xlfn.IFNA(INDEX('RD3 XCO Sheps'!$I$2:$I$190,MATCH(Men_5[[#This Row],[Rider]],'RD3 XCO Sheps'!$F$2:$F$190,0)),"")</f>
        <v/>
      </c>
      <c r="E49" s="38" t="str">
        <f>_xlfn.IFNA(INDEX('RD4 Ohalloran'!$I$2:$I$180,MATCH(Men_5[[#This Row],[Rider]],'RD4 Ohalloran'!$F$2:$F$180,0)),"")</f>
        <v/>
      </c>
      <c r="F49" s="38" t="str">
        <f>_xlfn.IFNA(INDEX('RD5 Craigburn'!$I$2:$I$164,MATCH(Men_5[[#This Row],[Rider]],'RD5 Craigburn'!$F$2:$F$164,0)),"")</f>
        <v/>
      </c>
      <c r="G49" s="38" t="str">
        <f>_xlfn.IFNA(INDEX('RD6 Kinchina'!$I$2:$I$200,MATCH(Men_5[[#This Row],[Rider]],'RD6 Kinchina'!$F$2:$F$200,0)),"")</f>
        <v/>
      </c>
      <c r="H49" s="38" t="str">
        <f>_xlfn.IFNA(INDEX('RD7 O''Hallaron'!$I$2:$I$190,MATCH(Men_5[[#This Row],[Rider]],'RD7 O''Hallaron'!$F$2:$F$201,0)),"")</f>
        <v/>
      </c>
      <c r="I49" s="38" t="str">
        <f>_xlfn.IFNA(INDEX('RD8 Fox Creek'!$I$2:$I$204,MATCH(Men_5[[#This Row],[Rider]],'RD8 Fox Creek'!$F$2:$F$204,0)),"")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2</v>
      </c>
      <c r="L49" s="59">
        <f>3-COUNTBLANK(Men_5[[#This Row],[RD1 XCC Eagle]:[RD3 XCO Sheps]])</f>
        <v>2</v>
      </c>
      <c r="M49" s="59">
        <f>4-COUNTBLANK(Men_5[[#This Row],[RD4 XCO Ohal]:[RD7 XCO O''Halloran]])</f>
        <v>0</v>
      </c>
      <c r="N49" s="59">
        <f>2-COUNTBLANK(Men_5[[#This Row],[RD8 XCO Fox Creek]:[RD9 XCO Willowie]])</f>
        <v>0</v>
      </c>
      <c r="O49" s="59" cm="1">
        <f t="array" ref="O49">IF(Men_5[[#This Row],[Number of Rounds]]&lt;=6,SUM(IF(ISNA(B49:J49),0,B49:J49)),SUM(LARGE(B49:J49,{1,2,3,4,5,6})))</f>
        <v>546</v>
      </c>
      <c r="P49" s="59" cm="1">
        <f t="array" ref="P49">IF(Men_5[[#This Row],[Number of Rounds XCM]]&lt;=3,SUM(IF(ISNA(E49:H49),0,E49:H49)),SUM(LARGE(E49:H49,{1,2,3})))</f>
        <v>0</v>
      </c>
      <c r="Q49" s="59">
        <f>SUM(Men_5[[#This Row],[RD8 XCO Fox Creek]:[RD9 XCO Willowie]])</f>
        <v>0</v>
      </c>
      <c r="R49" s="59">
        <f>Men_5[[#This Row],[Best 6 of 8 Overall]]+Men_5[[#This Row],[Best 3 of 4 XCM]]+Men_5[[#This Row],[Total of 2 XCO]]</f>
        <v>546</v>
      </c>
      <c r="S49" s="134" cm="1">
        <f t="array" ref="S49">68-SUM(IF(O49&gt;$O$18:$O$212,1/COUNTIF($O$18:$O$212,$O$18:$O$212)))</f>
        <v>27.999999999999844</v>
      </c>
      <c r="T49" s="18"/>
      <c r="U49" s="103" t="s">
        <v>302</v>
      </c>
      <c r="V49" s="38" t="str">
        <f>_xlfn.IFNA(INDEX('RD1 Eagle'!$I$2:$I$154,MATCH(Women6[[#This Row],[Rider]],'RD1 Eagle'!$F$2:$F$154,0)),"")</f>
        <v/>
      </c>
      <c r="W49" s="38" t="str">
        <f>_xlfn.IFNA(INDEX('RD2 Shepherds'!$I$2:$I$143,MATCH(Women6[[#This Row],[Rider]],'RD2 Shepherds'!$F$2:$F$143,0)),"")</f>
        <v/>
      </c>
      <c r="X49" s="34" t="str">
        <f>_xlfn.IFNA(INDEX('RD3 XCO Sheps'!$I$2:$I$190,MATCH(Women6[[#This Row],[Rider]],'RD3 XCO Sheps'!$F$2:$F$190,0)),"")</f>
        <v/>
      </c>
      <c r="Y49" s="34" t="str">
        <f>_xlfn.IFNA(INDEX('RD4 Ohalloran'!$I$2:$I$184,MATCH(Women6[[#This Row],[Rider]],'RD4 Ohalloran'!$F$2:$F$184,0)),"")</f>
        <v/>
      </c>
      <c r="Z49" s="34" t="str">
        <f>_xlfn.IFNA(INDEX('RD5 Craigburn'!$I$2:$I$164,MATCH(Women6[[#This Row],[Rider]],'RD5 Craigburn'!$F$2:$F$164,0)),"")</f>
        <v/>
      </c>
      <c r="AA49" s="34" t="str">
        <f>_xlfn.IFNA(INDEX('RD6 Kinchina'!$I$2:$I$199,MATCH(Women6[[#This Row],[Rider]],'RD6 Kinchina'!$F$2:$F$199,0)),"")</f>
        <v/>
      </c>
      <c r="AB49" s="34" t="str">
        <f>_xlfn.IFNA(INDEX('RD7 O''Hallaron'!$I$2:$I$190,MATCH(Women6[[#This Row],[Rider]],'RD7 O''Hallaron'!$F$2:$F$201,0)),"")</f>
        <v/>
      </c>
      <c r="AC49" s="34" t="str">
        <f>_xlfn.IFNA(INDEX('RD8 Fox Creek'!$I$2:$I$204,MATCH(Women6[[#This Row],[Rider]],'RD8 Fox Creek'!$F$2:$F$204,0)),"")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0">
        <f>3-COUNTBLANK(Women6[[#This Row],[RD1 XCC Eagle]:[RD3 XCO Sheps]])</f>
        <v>0</v>
      </c>
      <c r="AG49" s="110">
        <f>4-COUNTBLANK(Women6[[#This Row],[RD4 XCO Ohal]:[RD7 XCO O''Halloran]])</f>
        <v>0</v>
      </c>
      <c r="AH49" s="110">
        <f>2-COUNTBLANK(Women6[[#This Row],[RD8 XCO Fox Creek]:[RD9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0" cm="1">
        <f t="array" ref="AJ49">IF(Women6[[#This Row],[Number of XCM Rounds]]&lt;=3,SUM(IF(ISNA(Y49:AB49),0,Y49:AB49)),SUM(LARGE(Y49:AB49,{1,2,3})))</f>
        <v>0</v>
      </c>
      <c r="AK49" s="102">
        <f>SUM(Women6[[#This Row],[RD8 XCO Fox Creek]:[RD9 XCO Willowie]])</f>
        <v>0</v>
      </c>
      <c r="AL49" s="99">
        <f>Women6[[#This Row],[Best 3 of 4 XCM]]+Women6[[#This Row],[Best 6 of 8 Overall]]+Women6[[#This Row],[Total of 2 XCO]]</f>
        <v>0</v>
      </c>
      <c r="AM49" s="134" cm="1">
        <f t="array" ref="AM49">29-SUM(IF(AI49&gt;$AI$18:$AI$52,1/COUNTIF($AI$18:$AI$52,$AI$18:$AI$52)))</f>
        <v>29</v>
      </c>
      <c r="AN49" s="45"/>
      <c r="AO49" s="103"/>
      <c r="AP49" s="70" t="str">
        <f>_xlfn.IFNA(INDEX('RD1 Eagle'!$I$2:$I$154,MATCH(Junior7[[#This Row],[Rider]],'RD1 Eagle'!$F$2:$F$154,0)),"")</f>
        <v/>
      </c>
      <c r="AQ49" s="34" t="str">
        <f>_xlfn.IFNA(INDEX('RD2 Shepherds'!$I$2:$I$143,MATCH(Junior7[[#This Row],[Rider]],'RD2 Shepherds'!$F$2:$F$143,0)),"")</f>
        <v/>
      </c>
      <c r="AR49" s="34" t="str">
        <f>_xlfn.IFNA(INDEX('RD3 XCO Sheps'!$I$2:$I$190,MATCH(Junior7[[#This Row],[Rider]],'RD3 XCO Sheps'!$F$2:$F$190,0)),"")</f>
        <v/>
      </c>
      <c r="AS49" s="34" t="str">
        <f>_xlfn.IFNA(INDEX('RD4 Ohalloran'!$I$2:$I$184,MATCH(Junior7[[#This Row],[Rider]],'RD4 Ohalloran'!$F$2:$F$184,0)),"")</f>
        <v/>
      </c>
      <c r="AT49" s="34" t="str">
        <f>_xlfn.IFNA(INDEX('RD5 Craigburn'!$I$2:$I$168,MATCH(Junior7[[#This Row],[Rider]],'RD5 Craigburn'!$F$2:$F$168,0)),"")</f>
        <v/>
      </c>
      <c r="AU49" s="34" t="str">
        <f>_xlfn.IFNA(INDEX('RD6 Kinchina'!$I$2:$I$199,MATCH(Junior7[[#This Row],[Rider]],'RD6 Kinchina'!$F$2:$F$199,0)),"")</f>
        <v/>
      </c>
      <c r="AV49" s="34" t="str">
        <f>_xlfn.IFNA(INDEX('RD7 O''Hallaron'!$I$2:$I$190,MATCH(Junior7[[#This Row],[Rider]],'RD7 O''Hallaron'!$F$2:$F$201,0)),"")</f>
        <v/>
      </c>
      <c r="AW49" s="34" t="str">
        <f>_xlfn.IFNA(INDEX('RD8 Fox Creek'!$I$2:$I$204,MATCH(Junior7[[#This Row],[Rider]],'RD8 Fox Creek'!$F$2:$F$204,0)),"")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0</v>
      </c>
      <c r="AZ49" s="24">
        <f>3-COUNTBLANK(Junior7[[#This Row],[RD1 XCC Eagle]:[RD3 XCO Sheps]])</f>
        <v>0</v>
      </c>
      <c r="BA49" s="24">
        <f>4-COUNTBLANK(Junior7[[#This Row],[RD4 XCO Ohal]:[RD7 XCO O''Halloran]])</f>
        <v>0</v>
      </c>
      <c r="BB49" s="24">
        <f>2-COUNTBLANK(Junior7[[#This Row],[RD8 XCO Fox Creek]:[RD9 XCO Willowie]])</f>
        <v>0</v>
      </c>
      <c r="BC49" s="34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Fox Creek]:[RD9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23-SUM(IF(BC49&gt;$BC$18:$BC$71,1/COUNTIF($BC$18:$BC$71,$BC$18:$BC$71)))</f>
        <v>23</v>
      </c>
      <c r="BH49" s="18"/>
    </row>
    <row r="50" spans="1:60" ht="17" thickBot="1" x14ac:dyDescent="0.25">
      <c r="A50" s="103" t="s">
        <v>206</v>
      </c>
      <c r="B50" s="38">
        <f>_xlfn.IFNA(INDEX('RD1 Eagle'!$I$2:$I$154,MATCH(Men_5[[#This Row],[Rider]],'RD1 Eagle'!$F$2:$F$154,0)),"")</f>
        <v>300</v>
      </c>
      <c r="C50" s="38">
        <f>_xlfn.IFNA(INDEX('RD2 Shepherds'!$I$2:$I$143,MATCH(Men_5[[#This Row],[Rider]],'RD2 Shepherds'!$F$2:$F$143,0)),"")</f>
        <v>244.99999999999997</v>
      </c>
      <c r="D50" s="38" t="str">
        <f>_xlfn.IFNA(INDEX('RD3 XCO Sheps'!$I$2:$I$190,MATCH(Men_5[[#This Row],[Rider]],'RD3 XCO Sheps'!$F$2:$F$190,0)),"")</f>
        <v/>
      </c>
      <c r="E50" s="38" t="str">
        <f>_xlfn.IFNA(INDEX('RD4 Ohalloran'!$I$2:$I$180,MATCH(Men_5[[#This Row],[Rider]],'RD4 Ohalloran'!$F$2:$F$180,0)),"")</f>
        <v/>
      </c>
      <c r="F50" s="38" t="str">
        <f>_xlfn.IFNA(INDEX('RD5 Craigburn'!$I$2:$I$164,MATCH(Men_5[[#This Row],[Rider]],'RD5 Craigburn'!$F$2:$F$164,0)),"")</f>
        <v/>
      </c>
      <c r="G50" s="38" t="str">
        <f>_xlfn.IFNA(INDEX('RD6 Kinchina'!$I$2:$I$200,MATCH(Men_5[[#This Row],[Rider]],'RD6 Kinchina'!$F$2:$F$200,0)),"")</f>
        <v/>
      </c>
      <c r="H50" s="38" t="str">
        <f>_xlfn.IFNA(INDEX('RD7 O''Hallaron'!$I$2:$I$190,MATCH(Men_5[[#This Row],[Rider]],'RD7 O''Hallaron'!$F$2:$F$201,0)),"")</f>
        <v/>
      </c>
      <c r="I50" s="38" t="str">
        <f>_xlfn.IFNA(INDEX('RD8 Fox Creek'!$I$2:$I$204,MATCH(Men_5[[#This Row],[Rider]],'RD8 Fox Creek'!$F$2:$F$204,0)),"")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2</v>
      </c>
      <c r="L50" s="59">
        <f>3-COUNTBLANK(Men_5[[#This Row],[RD1 XCC Eagle]:[RD3 XCO Sheps]])</f>
        <v>2</v>
      </c>
      <c r="M50" s="59">
        <f>4-COUNTBLANK(Men_5[[#This Row],[RD4 XCO Ohal]:[RD7 XCO O''Halloran]])</f>
        <v>0</v>
      </c>
      <c r="N50" s="59">
        <f>2-COUNTBLANK(Men_5[[#This Row],[RD8 XCO Fox Creek]:[RD9 XCO Willowie]])</f>
        <v>0</v>
      </c>
      <c r="O50" s="59" cm="1">
        <f t="array" ref="O50">IF(Men_5[[#This Row],[Number of Rounds]]&lt;=6,SUM(IF(ISNA(B50:J50),0,B50:J50)),SUM(LARGE(B50:J50,{1,2,3,4,5,6})))</f>
        <v>545</v>
      </c>
      <c r="P50" s="59" cm="1">
        <f t="array" ref="P50">IF(Men_5[[#This Row],[Number of Rounds XCM]]&lt;=3,SUM(IF(ISNA(E50:H50),0,E50:H50)),SUM(LARGE(E50:H50,{1,2,3})))</f>
        <v>0</v>
      </c>
      <c r="Q50" s="59">
        <f>SUM(Men_5[[#This Row],[RD8 XCO Fox Creek]:[RD9 XCO Willowie]])</f>
        <v>0</v>
      </c>
      <c r="R50" s="59">
        <f>Men_5[[#This Row],[Best 6 of 8 Overall]]+Men_5[[#This Row],[Best 3 of 4 XCM]]+Men_5[[#This Row],[Total of 2 XCO]]</f>
        <v>545</v>
      </c>
      <c r="S50" s="134" cm="1">
        <f t="array" ref="S50">68-SUM(IF(O50&gt;$O$18:$O$212,1/COUNTIF($O$18:$O$212,$O$18:$O$212)))</f>
        <v>28.999999999999844</v>
      </c>
      <c r="T50" s="18"/>
      <c r="U50" s="103"/>
      <c r="V50" s="38" t="str">
        <f>_xlfn.IFNA(INDEX('RD1 Eagle'!$I$2:$I$154,MATCH(Women6[[#This Row],[Rider]],'RD1 Eagle'!$F$2:$F$154,0)),"")</f>
        <v/>
      </c>
      <c r="W50" s="38" t="str">
        <f>_xlfn.IFNA(INDEX('RD2 Shepherds'!$I$2:$I$143,MATCH(Women6[[#This Row],[Rider]],'RD2 Shepherds'!$F$2:$F$143,0)),"")</f>
        <v/>
      </c>
      <c r="X50" s="34" t="str">
        <f>_xlfn.IFNA(INDEX('RD3 XCO Sheps'!$I$2:$I$190,MATCH(Women6[[#This Row],[Rider]],'RD3 XCO Sheps'!$F$2:$F$190,0)),"")</f>
        <v/>
      </c>
      <c r="Y50" s="34" t="str">
        <f>_xlfn.IFNA(INDEX('RD4 Ohalloran'!$I$2:$I$184,MATCH(Women6[[#This Row],[Rider]],'RD4 Ohalloran'!$F$2:$F$184,0)),"")</f>
        <v/>
      </c>
      <c r="Z50" s="34" t="str">
        <f>_xlfn.IFNA(INDEX('RD5 Craigburn'!$I$2:$I$164,MATCH(Women6[[#This Row],[Rider]],'RD5 Craigburn'!$F$2:$F$164,0)),"")</f>
        <v/>
      </c>
      <c r="AA50" s="34" t="str">
        <f>_xlfn.IFNA(INDEX('RD6 Kinchina'!$I$2:$I$199,MATCH(Women6[[#This Row],[Rider]],'RD6 Kinchina'!$F$2:$F$199,0)),"")</f>
        <v/>
      </c>
      <c r="AB50" s="34" t="str">
        <f>_xlfn.IFNA(INDEX('RD7 O''Hallaron'!$I$2:$I$190,MATCH(Women6[[#This Row],[Rider]],'RD7 O''Hallaron'!$F$2:$F$201,0)),"")</f>
        <v/>
      </c>
      <c r="AC50" s="34" t="str">
        <f>_xlfn.IFNA(INDEX('RD8 Fox Creek'!$I$2:$I$204,MATCH(Women6[[#This Row],[Rider]],'RD8 Fox Creek'!$F$2:$F$204,0)),"")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8">
        <f>3-COUNTBLANK(Women6[[#This Row],[RD1 XCC Eagle]:[RD3 XCO Sheps]])</f>
        <v>0</v>
      </c>
      <c r="AG50" s="108">
        <f>4-COUNTBLANK(Women6[[#This Row],[RD4 XCO Ohal]:[RD7 XCO O''Halloran]])</f>
        <v>0</v>
      </c>
      <c r="AH50" s="108">
        <f>2-COUNTBLANK(Women6[[#This Row],[RD8 XCO Fox Creek]:[RD9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2">
        <f>SUM(Women6[[#This Row],[RD8 XCO Fox Creek]:[RD9 XCO Willowie]])</f>
        <v>0</v>
      </c>
      <c r="AL50" s="99">
        <f>Women6[[#This Row],[Best 3 of 4 XCM]]+Women6[[#This Row],[Best 6 of 8 Overall]]+Women6[[#This Row],[Total of 2 XCO]]</f>
        <v>0</v>
      </c>
      <c r="AM50" s="134" cm="1">
        <f t="array" ref="AM50">29-SUM(IF(AI50&gt;$AI$18:$AI$52,1/COUNTIF($AI$18:$AI$52,$AI$18:$AI$52)))</f>
        <v>29</v>
      </c>
      <c r="AN50" s="45"/>
      <c r="AO50" s="103"/>
      <c r="AP50" s="70" t="str">
        <f>_xlfn.IFNA(INDEX('RD1 Eagle'!$I$2:$I$154,MATCH(Junior7[[#This Row],[Rider]],'RD1 Eagle'!$F$2:$F$154,0)),"")</f>
        <v/>
      </c>
      <c r="AQ50" s="34" t="str">
        <f>_xlfn.IFNA(INDEX('RD2 Shepherds'!$I$2:$I$143,MATCH(Junior7[[#This Row],[Rider]],'RD2 Shepherds'!$F$2:$F$143,0)),"")</f>
        <v/>
      </c>
      <c r="AR50" s="34" t="str">
        <f>_xlfn.IFNA(INDEX('RD3 XCO Sheps'!$I$2:$I$190,MATCH(Junior7[[#This Row],[Rider]],'RD3 XCO Sheps'!$F$2:$F$190,0)),"")</f>
        <v/>
      </c>
      <c r="AS50" s="34" t="str">
        <f>_xlfn.IFNA(INDEX('RD4 Ohalloran'!$I$2:$I$184,MATCH(Junior7[[#This Row],[Rider]],'RD4 Ohalloran'!$F$2:$F$184,0)),"")</f>
        <v/>
      </c>
      <c r="AT50" s="34" t="str">
        <f>_xlfn.IFNA(INDEX('RD5 Craigburn'!$I$2:$I$168,MATCH(Junior7[[#This Row],[Rider]],'RD5 Craigburn'!$F$2:$F$168,0)),"")</f>
        <v/>
      </c>
      <c r="AU50" s="34" t="str">
        <f>_xlfn.IFNA(INDEX('RD6 Kinchina'!$I$2:$I$199,MATCH(Junior7[[#This Row],[Rider]],'RD6 Kinchina'!$F$2:$F$199,0)),"")</f>
        <v/>
      </c>
      <c r="AV50" s="34" t="str">
        <f>_xlfn.IFNA(INDEX('RD7 O''Hallaron'!$I$2:$I$190,MATCH(Junior7[[#This Row],[Rider]],'RD7 O''Hallaron'!$F$2:$F$201,0)),"")</f>
        <v/>
      </c>
      <c r="AW50" s="34" t="str">
        <f>_xlfn.IFNA(INDEX('RD8 Fox Creek'!$I$2:$I$204,MATCH(Junior7[[#This Row],[Rider]],'RD8 Fox Creek'!$F$2:$F$204,0)),"")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0</v>
      </c>
      <c r="AZ50" s="24">
        <f>3-COUNTBLANK(Junior7[[#This Row],[RD1 XCC Eagle]:[RD3 XCO Sheps]])</f>
        <v>0</v>
      </c>
      <c r="BA50" s="24">
        <f>4-COUNTBLANK(Junior7[[#This Row],[RD4 XCO Ohal]:[RD7 XCO O''Halloran]])</f>
        <v>0</v>
      </c>
      <c r="BB50" s="24">
        <f>2-COUNTBLANK(Junior7[[#This Row],[RD8 XCO Fox Creek]:[RD9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Fox Creek]:[RD9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23-SUM(IF(BC50&gt;$BC$18:$BC$71,1/COUNTIF($BC$18:$BC$71,$BC$18:$BC$71)))</f>
        <v>23</v>
      </c>
      <c r="BH50" s="18"/>
    </row>
    <row r="51" spans="1:60" ht="16.25" customHeight="1" thickBot="1" x14ac:dyDescent="0.25">
      <c r="A51" s="103" t="s">
        <v>195</v>
      </c>
      <c r="B51" s="38">
        <f>_xlfn.IFNA(INDEX('RD1 Eagle'!$I$2:$I$154,MATCH(Men_5[[#This Row],[Rider]],'RD1 Eagle'!$F$2:$F$154,0)),"")</f>
        <v>252</v>
      </c>
      <c r="C51" s="38" t="str">
        <f>_xlfn.IFNA(INDEX('RD2 Shepherds'!$I$2:$I$143,MATCH(Men_5[[#This Row],[Rider]],'RD2 Shepherds'!$F$2:$F$143,0)),"")</f>
        <v/>
      </c>
      <c r="D51" s="38" t="str">
        <f>_xlfn.IFNA(INDEX('RD3 XCO Sheps'!$I$2:$I$190,MATCH(Men_5[[#This Row],[Rider]],'RD3 XCO Sheps'!$F$2:$F$190,0)),"")</f>
        <v/>
      </c>
      <c r="E51" s="38">
        <f>_xlfn.IFNA(INDEX('RD4 Ohalloran'!$I$2:$I$180,MATCH(Men_5[[#This Row],[Rider]],'RD4 Ohalloran'!$F$2:$F$180,0)),"")</f>
        <v>270</v>
      </c>
      <c r="F51" s="38" t="str">
        <f>_xlfn.IFNA(INDEX('RD5 Craigburn'!$I$2:$I$164,MATCH(Men_5[[#This Row],[Rider]],'RD5 Craigburn'!$F$2:$F$164,0)),"")</f>
        <v/>
      </c>
      <c r="G51" s="38" t="str">
        <f>_xlfn.IFNA(INDEX('RD6 Kinchina'!$I$2:$I$200,MATCH(Men_5[[#This Row],[Rider]],'RD6 Kinchina'!$F$2:$F$200,0)),"")</f>
        <v/>
      </c>
      <c r="H51" s="38" t="str">
        <f>_xlfn.IFNA(INDEX('RD7 O''Hallaron'!$I$2:$I$190,MATCH(Men_5[[#This Row],[Rider]],'RD7 O''Hallaron'!$F$2:$F$201,0)),"")</f>
        <v/>
      </c>
      <c r="I51" s="38" t="str">
        <f>_xlfn.IFNA(INDEX('RD8 Fox Creek'!$I$2:$I$204,MATCH(Men_5[[#This Row],[Rider]],'RD8 Fox Creek'!$F$2:$F$204,0)),"")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2</v>
      </c>
      <c r="L51" s="59">
        <f>3-COUNTBLANK(Men_5[[#This Row],[RD1 XCC Eagle]:[RD3 XCO Sheps]])</f>
        <v>1</v>
      </c>
      <c r="M51" s="59">
        <f>4-COUNTBLANK(Men_5[[#This Row],[RD4 XCO Ohal]:[RD7 XCO O''Halloran]])</f>
        <v>1</v>
      </c>
      <c r="N51" s="59">
        <f>2-COUNTBLANK(Men_5[[#This Row],[RD8 XCO Fox Creek]:[RD9 XCO Willowie]])</f>
        <v>0</v>
      </c>
      <c r="O51" s="59" cm="1">
        <f t="array" ref="O51">IF(Men_5[[#This Row],[Number of Rounds]]&lt;=6,SUM(IF(ISNA(B51:J51),0,B51:J51)),SUM(LARGE(B51:J51,{1,2,3,4,5,6})))</f>
        <v>522</v>
      </c>
      <c r="P51" s="59" cm="1">
        <f t="array" ref="P51">IF(Men_5[[#This Row],[Number of Rounds XCM]]&lt;=3,SUM(IF(ISNA(E51:H51),0,E51:H51)),SUM(LARGE(E51:H51,{1,2,3})))</f>
        <v>270</v>
      </c>
      <c r="Q51" s="59">
        <f>SUM(Men_5[[#This Row],[RD8 XCO Fox Creek]:[RD9 XCO Willowie]])</f>
        <v>0</v>
      </c>
      <c r="R51" s="59">
        <f>Men_5[[#This Row],[Best 6 of 8 Overall]]+Men_5[[#This Row],[Best 3 of 4 XCM]]+Men_5[[#This Row],[Total of 2 XCO]]</f>
        <v>792</v>
      </c>
      <c r="S51" s="134" cm="1">
        <f t="array" ref="S51">68-SUM(IF(O51&gt;$O$18:$O$212,1/COUNTIF($O$18:$O$212,$O$18:$O$212)))</f>
        <v>29.999999999999844</v>
      </c>
      <c r="T51" s="18"/>
      <c r="U51" s="103"/>
      <c r="V51" s="38" t="str">
        <f>_xlfn.IFNA(INDEX('RD1 Eagle'!$I$2:$I$154,MATCH(Women6[[#This Row],[Rider]],'RD1 Eagle'!$F$2:$F$154,0)),"")</f>
        <v/>
      </c>
      <c r="W51" s="38" t="str">
        <f>_xlfn.IFNA(INDEX('RD2 Shepherds'!$I$2:$I$143,MATCH(Women6[[#This Row],[Rider]],'RD2 Shepherds'!$F$2:$F$143,0)),"")</f>
        <v/>
      </c>
      <c r="X51" s="34" t="str">
        <f>_xlfn.IFNA(INDEX('RD3 XCO Sheps'!$I$2:$I$190,MATCH(Women6[[#This Row],[Rider]],'RD3 XCO Sheps'!$F$2:$F$190,0)),"")</f>
        <v/>
      </c>
      <c r="Y51" s="34" t="str">
        <f>_xlfn.IFNA(INDEX('RD4 Ohalloran'!$I$2:$I$184,MATCH(Women6[[#This Row],[Rider]],'RD4 Ohalloran'!$F$2:$F$184,0)),"")</f>
        <v/>
      </c>
      <c r="Z51" s="34" t="str">
        <f>_xlfn.IFNA(INDEX('RD5 Craigburn'!$I$2:$I$164,MATCH(Women6[[#This Row],[Rider]],'RD5 Craigburn'!$F$2:$F$164,0)),"")</f>
        <v/>
      </c>
      <c r="AA51" s="34" t="str">
        <f>_xlfn.IFNA(INDEX('RD6 Kinchina'!$I$2:$I$199,MATCH(Women6[[#This Row],[Rider]],'RD6 Kinchina'!$F$2:$F$199,0)),"")</f>
        <v/>
      </c>
      <c r="AB51" s="34" t="str">
        <f>_xlfn.IFNA(INDEX('RD7 O''Hallaron'!$I$2:$I$190,MATCH(Women6[[#This Row],[Rider]],'RD7 O''Hallaron'!$F$2:$F$201,0)),"")</f>
        <v/>
      </c>
      <c r="AC51" s="34" t="str">
        <f>_xlfn.IFNA(INDEX('RD8 Fox Creek'!$I$2:$I$204,MATCH(Women6[[#This Row],[Rider]],'RD8 Fox Creek'!$F$2:$F$204,0)),"")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8">
        <f>3-COUNTBLANK(Women6[[#This Row],[RD1 XCC Eagle]:[RD3 XCO Sheps]])</f>
        <v>0</v>
      </c>
      <c r="AG51" s="108">
        <f>4-COUNTBLANK(Women6[[#This Row],[RD4 XCO Ohal]:[RD7 XCO O''Halloran]])</f>
        <v>0</v>
      </c>
      <c r="AH51" s="108">
        <f>2-COUNTBLANK(Women6[[#This Row],[RD8 XCO Fox Creek]:[RD9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0" cm="1">
        <f t="array" ref="AJ51">IF(Women6[[#This Row],[Number of XCM Rounds]]&lt;=3,SUM(IF(ISNA(Y51:AB51),0,Y51:AB51)),SUM(LARGE(Y51:AB51,{1,2,3})))</f>
        <v>0</v>
      </c>
      <c r="AK51" s="102">
        <f>SUM(Women6[[#This Row],[RD8 XCO Fox Creek]:[RD9 XCO Willowie]])</f>
        <v>0</v>
      </c>
      <c r="AL51" s="99">
        <f>Women6[[#This Row],[Best 3 of 4 XCM]]+Women6[[#This Row],[Best 6 of 8 Overall]]+Women6[[#This Row],[Total of 2 XCO]]</f>
        <v>0</v>
      </c>
      <c r="AM51" s="134" cm="1">
        <f t="array" ref="AM51">29-SUM(IF(AI51&gt;$AI$18:$AI$52,1/COUNTIF($AI$18:$AI$52,$AI$18:$AI$52)))</f>
        <v>29</v>
      </c>
      <c r="AN51" s="45"/>
      <c r="AO51" s="103"/>
      <c r="AP51" s="70" t="str">
        <f>_xlfn.IFNA(INDEX('RD1 Eagle'!$I$2:$I$154,MATCH(Junior7[[#This Row],[Rider]],'RD1 Eagle'!$F$2:$F$154,0)),"")</f>
        <v/>
      </c>
      <c r="AQ51" s="34" t="str">
        <f>_xlfn.IFNA(INDEX('RD2 Shepherds'!$I$2:$I$143,MATCH(Junior7[[#This Row],[Rider]],'RD2 Shepherds'!$F$2:$F$143,0)),"")</f>
        <v/>
      </c>
      <c r="AR51" s="34" t="str">
        <f>_xlfn.IFNA(INDEX('RD3 XCO Sheps'!$I$2:$I$190,MATCH(Junior7[[#This Row],[Rider]],'RD3 XCO Sheps'!$F$2:$F$190,0)),"")</f>
        <v/>
      </c>
      <c r="AS51" s="34" t="str">
        <f>_xlfn.IFNA(INDEX('RD4 Ohalloran'!$I$2:$I$184,MATCH(Junior7[[#This Row],[Rider]],'RD4 Ohalloran'!$F$2:$F$184,0)),"")</f>
        <v/>
      </c>
      <c r="AT51" s="34" t="str">
        <f>_xlfn.IFNA(INDEX('RD5 Craigburn'!$I$2:$I$168,MATCH(Junior7[[#This Row],[Rider]],'RD5 Craigburn'!$F$2:$F$168,0)),"")</f>
        <v/>
      </c>
      <c r="AU51" s="34" t="str">
        <f>_xlfn.IFNA(INDEX('RD6 Kinchina'!$I$2:$I$199,MATCH(Junior7[[#This Row],[Rider]],'RD6 Kinchina'!$F$2:$F$199,0)),"")</f>
        <v/>
      </c>
      <c r="AV51" s="34" t="str">
        <f>_xlfn.IFNA(INDEX('RD7 O''Hallaron'!$I$2:$I$190,MATCH(Junior7[[#This Row],[Rider]],'RD7 O''Hallaron'!$F$2:$F$201,0)),"")</f>
        <v/>
      </c>
      <c r="AW51" s="34" t="str">
        <f>_xlfn.IFNA(INDEX('RD8 Fox Creek'!$I$2:$I$204,MATCH(Junior7[[#This Row],[Rider]],'RD8 Fox Creek'!$F$2:$F$204,0)),"")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0</v>
      </c>
      <c r="AZ51" s="24">
        <f>3-COUNTBLANK(Junior7[[#This Row],[RD1 XCC Eagle]:[RD3 XCO Sheps]])</f>
        <v>0</v>
      </c>
      <c r="BA51" s="24">
        <f>4-COUNTBLANK(Junior7[[#This Row],[RD4 XCO Ohal]:[RD7 XCO O''Halloran]])</f>
        <v>0</v>
      </c>
      <c r="BB51" s="24">
        <f>2-COUNTBLANK(Junior7[[#This Row],[RD8 XCO Fox Creek]:[RD9 XCO Willowie]])</f>
        <v>0</v>
      </c>
      <c r="BC51" s="38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Fox Creek]:[RD9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23-SUM(IF(BC51&gt;$BC$18:$BC$71,1/COUNTIF($BC$18:$BC$71,$BC$18:$BC$71)))</f>
        <v>23</v>
      </c>
      <c r="BH51" s="18"/>
    </row>
    <row r="52" spans="1:60" ht="16.25" customHeight="1" thickBot="1" x14ac:dyDescent="0.25">
      <c r="A52" s="103" t="s">
        <v>220</v>
      </c>
      <c r="B52" s="38" t="str">
        <f>_xlfn.IFNA(INDEX('RD1 Eagle'!$I$2:$I$154,MATCH(Men_5[[#This Row],[Rider]],'RD1 Eagle'!$F$2:$F$154,0)),"")</f>
        <v/>
      </c>
      <c r="C52" s="38">
        <f>_xlfn.IFNA(INDEX('RD2 Shepherds'!$I$2:$I$143,MATCH(Men_5[[#This Row],[Rider]],'RD2 Shepherds'!$F$2:$F$143,0)),"")</f>
        <v>500</v>
      </c>
      <c r="D52" s="38" t="str">
        <f>_xlfn.IFNA(INDEX('RD3 XCO Sheps'!$I$2:$I$190,MATCH(Men_5[[#This Row],[Rider]],'RD3 XCO Sheps'!$F$2:$F$190,0)),"")</f>
        <v/>
      </c>
      <c r="E52" s="38" t="str">
        <f>_xlfn.IFNA(INDEX('RD4 Ohalloran'!$I$2:$I$180,MATCH(Men_5[[#This Row],[Rider]],'RD4 Ohalloran'!$F$2:$F$180,0)),"")</f>
        <v/>
      </c>
      <c r="F52" s="38" t="str">
        <f>_xlfn.IFNA(INDEX('RD5 Craigburn'!$I$2:$I$164,MATCH(Men_5[[#This Row],[Rider]],'RD5 Craigburn'!$F$2:$F$164,0)),"")</f>
        <v/>
      </c>
      <c r="G52" s="38" t="str">
        <f>_xlfn.IFNA(INDEX('RD6 Kinchina'!$I$2:$I$200,MATCH(Men_5[[#This Row],[Rider]],'RD6 Kinchina'!$F$2:$F$200,0)),"")</f>
        <v/>
      </c>
      <c r="H52" s="38" t="str">
        <f>_xlfn.IFNA(INDEX('RD7 O''Hallaron'!$I$2:$I$190,MATCH(Men_5[[#This Row],[Rider]],'RD7 O''Hallaron'!$F$2:$F$201,0)),"")</f>
        <v/>
      </c>
      <c r="I52" s="38" t="str">
        <f>_xlfn.IFNA(INDEX('RD8 Fox Creek'!$I$2:$I$204,MATCH(Men_5[[#This Row],[Rider]],'RD8 Fox Creek'!$F$2:$F$204,0)),"")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1</v>
      </c>
      <c r="L52" s="59">
        <f>3-COUNTBLANK(Men_5[[#This Row],[RD1 XCC Eagle]:[RD3 XCO Sheps]])</f>
        <v>1</v>
      </c>
      <c r="M52" s="59">
        <f>4-COUNTBLANK(Men_5[[#This Row],[RD4 XCO Ohal]:[RD7 XCO O''Halloran]])</f>
        <v>0</v>
      </c>
      <c r="N52" s="59">
        <f>2-COUNTBLANK(Men_5[[#This Row],[RD8 XCO Fox Creek]:[RD9 XCO Willowie]])</f>
        <v>0</v>
      </c>
      <c r="O52" s="59" cm="1">
        <f t="array" ref="O52">IF(Men_5[[#This Row],[Number of Rounds]]&lt;=6,SUM(IF(ISNA(B52:J52),0,B52:J52)),SUM(LARGE(B52:J52,{1,2,3,4,5,6})))</f>
        <v>500</v>
      </c>
      <c r="P52" s="59" cm="1">
        <f t="array" ref="P52">IF(Men_5[[#This Row],[Number of Rounds XCM]]&lt;=3,SUM(IF(ISNA(E52:H52),0,E52:H52)),SUM(LARGE(E52:H52,{1,2,3})))</f>
        <v>0</v>
      </c>
      <c r="Q52" s="59">
        <f>SUM(Men_5[[#This Row],[RD8 XCO Fox Creek]:[RD9 XCO Willowie]])</f>
        <v>0</v>
      </c>
      <c r="R52" s="59">
        <f>Men_5[[#This Row],[Best 6 of 8 Overall]]+Men_5[[#This Row],[Best 3 of 4 XCM]]+Men_5[[#This Row],[Total of 2 XCO]]</f>
        <v>500</v>
      </c>
      <c r="S52" s="134" cm="1">
        <f t="array" ref="S52">68-SUM(IF(O52&gt;$O$18:$O$212,1/COUNTIF($O$18:$O$212,$O$18:$O$212)))</f>
        <v>30.999999999999844</v>
      </c>
      <c r="T52" s="18"/>
      <c r="U52" s="103"/>
      <c r="V52" s="34" t="str">
        <f>_xlfn.IFNA(INDEX('RD1 Eagle'!$I$2:$I$154,MATCH(Women6[[#This Row],[Rider]],'RD1 Eagle'!$F$2:$F$154,0)),"")</f>
        <v/>
      </c>
      <c r="W52" s="34" t="str">
        <f>_xlfn.IFNA(INDEX('RD2 Shepherds'!$I$2:$I$143,MATCH(Women6[[#This Row],[Rider]],'RD2 Shepherds'!$F$2:$F$143,0)),"")</f>
        <v/>
      </c>
      <c r="X52" s="34" t="str">
        <f>_xlfn.IFNA(INDEX('RD3 XCO Sheps'!$I$2:$I$190,MATCH(Women6[[#This Row],[Rider]],'RD3 XCO Sheps'!$F$2:$F$190,0)),"")</f>
        <v/>
      </c>
      <c r="Y52" s="34" t="str">
        <f>_xlfn.IFNA(INDEX('RD4 Ohalloran'!$I$2:$I$184,MATCH(Women6[[#This Row],[Rider]],'RD4 Ohalloran'!$F$2:$F$184,0)),"")</f>
        <v/>
      </c>
      <c r="Z52" s="34" t="str">
        <f>_xlfn.IFNA(INDEX('RD5 Craigburn'!$I$2:$I$164,MATCH(Women6[[#This Row],[Rider]],'RD5 Craigburn'!$F$2:$F$164,0)),"")</f>
        <v/>
      </c>
      <c r="AA52" s="34" t="str">
        <f>_xlfn.IFNA(INDEX('RD6 Kinchina'!$I$2:$I$199,MATCH(Women6[[#This Row],[Rider]],'RD6 Kinchina'!$F$2:$F$199,0)),"")</f>
        <v/>
      </c>
      <c r="AB52" s="34" t="str">
        <f>_xlfn.IFNA(INDEX('RD7 O''Hallaron'!$I$2:$I$190,MATCH(Women6[[#This Row],[Rider]],'RD7 O''Hallaron'!$F$2:$F$201,0)),"")</f>
        <v/>
      </c>
      <c r="AC52" s="34" t="str">
        <f>_xlfn.IFNA(INDEX('RD8 Fox Creek'!$I$2:$I$204,MATCH(Women6[[#This Row],[Rider]],'RD8 Fox Creek'!$F$2:$F$204,0)),"")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8">
        <f>3-COUNTBLANK(Women6[[#This Row],[RD1 XCC Eagle]:[RD3 XCO Sheps]])</f>
        <v>0</v>
      </c>
      <c r="AG52" s="108">
        <f>4-COUNTBLANK(Women6[[#This Row],[RD4 XCO Ohal]:[RD7 XCO O''Halloran]])</f>
        <v>0</v>
      </c>
      <c r="AH52" s="108">
        <f>2-COUNTBLANK(Women6[[#This Row],[RD8 XCO Fox Creek]:[RD9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2">
        <f>SUM(Women6[[#This Row],[RD8 XCO Fox Creek]:[RD9 XCO Willowie]])</f>
        <v>0</v>
      </c>
      <c r="AL52" s="99">
        <f>Women6[[#This Row],[Best 3 of 4 XCM]]+Women6[[#This Row],[Best 6 of 8 Overall]]+Women6[[#This Row],[Total of 2 XCO]]</f>
        <v>0</v>
      </c>
      <c r="AM52" s="134" cm="1">
        <f t="array" ref="AM52">29-SUM(IF(AI52&gt;$AI$18:$AI$52,1/COUNTIF($AI$18:$AI$52,$AI$18:$AI$52)))</f>
        <v>29</v>
      </c>
      <c r="AN52" s="45"/>
      <c r="AO52" s="103"/>
      <c r="AP52" s="70" t="str">
        <f>_xlfn.IFNA(INDEX('RD1 Eagle'!$I$2:$I$154,MATCH(Junior7[[#This Row],[Rider]],'RD1 Eagle'!$F$2:$F$154,0)),"")</f>
        <v/>
      </c>
      <c r="AQ52" s="34" t="str">
        <f>_xlfn.IFNA(INDEX('RD2 Shepherds'!$I$2:$I$143,MATCH(Junior7[[#This Row],[Rider]],'RD2 Shepherds'!$F$2:$F$143,0)),"")</f>
        <v/>
      </c>
      <c r="AR52" s="34" t="str">
        <f>_xlfn.IFNA(INDEX('RD3 XCO Sheps'!$I$2:$I$190,MATCH(Junior7[[#This Row],[Rider]],'RD3 XCO Sheps'!$F$2:$F$190,0)),"")</f>
        <v/>
      </c>
      <c r="AS52" s="34" t="str">
        <f>_xlfn.IFNA(INDEX('RD4 Ohalloran'!$I$2:$I$184,MATCH(Junior7[[#This Row],[Rider]],'RD4 Ohalloran'!$F$2:$F$184,0)),"")</f>
        <v/>
      </c>
      <c r="AT52" s="34" t="str">
        <f>_xlfn.IFNA(INDEX('RD5 Craigburn'!$I$2:$I$168,MATCH(Junior7[[#This Row],[Rider]],'RD5 Craigburn'!$F$2:$F$168,0)),"")</f>
        <v/>
      </c>
      <c r="AU52" s="34" t="str">
        <f>_xlfn.IFNA(INDEX('RD6 Kinchina'!$I$2:$I$199,MATCH(Junior7[[#This Row],[Rider]],'RD6 Kinchina'!$F$2:$F$199,0)),"")</f>
        <v/>
      </c>
      <c r="AV52" s="34" t="str">
        <f>_xlfn.IFNA(INDEX('RD7 O''Hallaron'!$I$2:$I$190,MATCH(Junior7[[#This Row],[Rider]],'RD7 O''Hallaron'!$F$2:$F$201,0)),"")</f>
        <v/>
      </c>
      <c r="AW52" s="34" t="str">
        <f>_xlfn.IFNA(INDEX('RD8 Fox Creek'!$I$2:$I$204,MATCH(Junior7[[#This Row],[Rider]],'RD8 Fox Creek'!$F$2:$F$204,0)),"")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0</v>
      </c>
      <c r="AZ52" s="24">
        <f>3-COUNTBLANK(Junior7[[#This Row],[RD1 XCC Eagle]:[RD3 XCO Sheps]])</f>
        <v>0</v>
      </c>
      <c r="BA52" s="24">
        <f>4-COUNTBLANK(Junior7[[#This Row],[RD4 XCO Ohal]:[RD7 XCO O''Halloran]])</f>
        <v>0</v>
      </c>
      <c r="BB52" s="24">
        <f>2-COUNTBLANK(Junior7[[#This Row],[RD8 XCO Fox Creek]:[RD9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Fox Creek]:[RD9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23-SUM(IF(BC52&gt;$BC$18:$BC$71,1/COUNTIF($BC$18:$BC$71,$BC$18:$BC$71)))</f>
        <v>23</v>
      </c>
      <c r="BH52" s="18"/>
    </row>
    <row r="53" spans="1:60" ht="16" x14ac:dyDescent="0.2">
      <c r="A53" s="103" t="s">
        <v>234</v>
      </c>
      <c r="B53" s="38" t="str">
        <f>_xlfn.IFNA(INDEX('RD1 Eagle'!$I$2:$I$154,MATCH(Men_5[[#This Row],[Rider]],'RD1 Eagle'!$F$2:$F$154,0)),"")</f>
        <v/>
      </c>
      <c r="C53" s="38">
        <f>_xlfn.IFNA(INDEX('RD2 Shepherds'!$I$2:$I$143,MATCH(Men_5[[#This Row],[Rider]],'RD2 Shepherds'!$F$2:$F$143,0)),"")</f>
        <v>230.99999999999997</v>
      </c>
      <c r="D53" s="38" t="str">
        <f>_xlfn.IFNA(INDEX('RD3 XCO Sheps'!$I$2:$I$190,MATCH(Men_5[[#This Row],[Rider]],'RD3 XCO Sheps'!$F$2:$F$190,0)),"")</f>
        <v/>
      </c>
      <c r="E53" s="38">
        <f>_xlfn.IFNA(INDEX('RD4 Ohalloran'!$I$2:$I$180,MATCH(Men_5[[#This Row],[Rider]],'RD4 Ohalloran'!$F$2:$F$180,0)),"")</f>
        <v>259</v>
      </c>
      <c r="F53" s="38" t="str">
        <f>_xlfn.IFNA(INDEX('RD5 Craigburn'!$I$2:$I$164,MATCH(Men_5[[#This Row],[Rider]],'RD5 Craigburn'!$F$2:$F$164,0)),"")</f>
        <v/>
      </c>
      <c r="G53" s="38" t="str">
        <f>_xlfn.IFNA(INDEX('RD6 Kinchina'!$I$2:$I$200,MATCH(Men_5[[#This Row],[Rider]],'RD6 Kinchina'!$F$2:$F$200,0)),"")</f>
        <v/>
      </c>
      <c r="H53" s="38" t="str">
        <f>_xlfn.IFNA(INDEX('RD7 O''Hallaron'!$I$2:$I$190,MATCH(Men_5[[#This Row],[Rider]],'RD7 O''Hallaron'!$F$2:$F$201,0)),"")</f>
        <v/>
      </c>
      <c r="I53" s="38" t="str">
        <f>_xlfn.IFNA(INDEX('RD8 Fox Creek'!$I$2:$I$204,MATCH(Men_5[[#This Row],[Rider]],'RD8 Fox Creek'!$F$2:$F$204,0)),"")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2</v>
      </c>
      <c r="L53" s="59">
        <f>3-COUNTBLANK(Men_5[[#This Row],[RD1 XCC Eagle]:[RD3 XCO Sheps]])</f>
        <v>1</v>
      </c>
      <c r="M53" s="59">
        <f>4-COUNTBLANK(Men_5[[#This Row],[RD4 XCO Ohal]:[RD7 XCO O''Halloran]])</f>
        <v>1</v>
      </c>
      <c r="N53" s="59">
        <f>2-COUNTBLANK(Men_5[[#This Row],[RD8 XCO Fox Creek]:[RD9 XCO Willowie]])</f>
        <v>0</v>
      </c>
      <c r="O53" s="59" cm="1">
        <f t="array" ref="O53">IF(Men_5[[#This Row],[Number of Rounds]]&lt;=6,SUM(IF(ISNA(B53:J53),0,B53:J53)),SUM(LARGE(B53:J53,{1,2,3,4,5,6})))</f>
        <v>490</v>
      </c>
      <c r="P53" s="59" cm="1">
        <f t="array" ref="P53">IF(Men_5[[#This Row],[Number of Rounds XCM]]&lt;=3,SUM(IF(ISNA(E53:H53),0,E53:H53)),SUM(LARGE(E53:H53,{1,2,3})))</f>
        <v>259</v>
      </c>
      <c r="Q53" s="59">
        <f>SUM(Men_5[[#This Row],[RD8 XCO Fox Creek]:[RD9 XCO Willowie]])</f>
        <v>0</v>
      </c>
      <c r="R53" s="59">
        <f>Men_5[[#This Row],[Best 6 of 8 Overall]]+Men_5[[#This Row],[Best 3 of 4 XCM]]+Men_5[[#This Row],[Total of 2 XCO]]</f>
        <v>749</v>
      </c>
      <c r="S53" s="134" cm="1">
        <f t="array" ref="S53">68-SUM(IF(O53&gt;$O$18:$O$212,1/COUNTIF($O$18:$O$212,$O$18:$O$212)))</f>
        <v>31.999999999999837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3"/>
      <c r="AP53" s="69" t="str">
        <f>_xlfn.IFNA(INDEX('RD1 Eagle'!$I$2:$I$154,MATCH(Junior7[[#This Row],[Rider]],'RD1 Eagle'!$F$2:$F$154,0)),"")</f>
        <v/>
      </c>
      <c r="AQ53" s="34" t="str">
        <f>_xlfn.IFNA(INDEX('RD2 Shepherds'!$I$2:$I$143,MATCH(Junior7[[#This Row],[Rider]],'RD2 Shepherds'!$F$2:$F$143,0)),"")</f>
        <v/>
      </c>
      <c r="AR53" s="34" t="str">
        <f>_xlfn.IFNA(INDEX('RD3 XCO Sheps'!$I$2:$I$190,MATCH(Junior7[[#This Row],[Rider]],'RD3 XCO Sheps'!$F$2:$F$190,0)),"")</f>
        <v/>
      </c>
      <c r="AS53" s="34" t="str">
        <f>_xlfn.IFNA(INDEX('RD4 Ohalloran'!$I$2:$I$184,MATCH(Junior7[[#This Row],[Rider]],'RD4 Ohalloran'!$F$2:$F$184,0)),"")</f>
        <v/>
      </c>
      <c r="AT53" s="34" t="str">
        <f>_xlfn.IFNA(INDEX('RD5 Craigburn'!$I$2:$I$168,MATCH(Junior7[[#This Row],[Rider]],'RD5 Craigburn'!$F$2:$F$168,0)),"")</f>
        <v/>
      </c>
      <c r="AU53" s="34" t="str">
        <f>_xlfn.IFNA(INDEX('RD6 Kinchina'!$I$2:$I$199,MATCH(Junior7[[#This Row],[Rider]],'RD6 Kinchina'!$F$2:$F$199,0)),"")</f>
        <v/>
      </c>
      <c r="AV53" s="34" t="str">
        <f>_xlfn.IFNA(INDEX('RD7 O''Hallaron'!$I$2:$I$190,MATCH(Junior7[[#This Row],[Rider]],'RD7 O''Hallaron'!$F$2:$F$201,0)),"")</f>
        <v/>
      </c>
      <c r="AW53" s="34" t="str">
        <f>_xlfn.IFNA(INDEX('RD8 Fox Creek'!$I$2:$I$204,MATCH(Junior7[[#This Row],[Rider]],'RD8 Fox Creek'!$F$2:$F$204,0)),"")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0</v>
      </c>
      <c r="AZ53" s="24">
        <f>3-COUNTBLANK(Junior7[[#This Row],[RD1 XCC Eagle]:[RD3 XCO Sheps]])</f>
        <v>0</v>
      </c>
      <c r="BA53" s="24">
        <f>4-COUNTBLANK(Junior7[[#This Row],[RD4 XCO Ohal]:[RD7 XCO O''Halloran]])</f>
        <v>0</v>
      </c>
      <c r="BB53" s="24">
        <f>2-COUNTBLANK(Junior7[[#This Row],[RD8 XCO Fox Creek]:[RD9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Fox Creek]:[RD9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23-SUM(IF(BC53&gt;$BC$18:$BC$71,1/COUNTIF($BC$18:$BC$71,$BC$18:$BC$71)))</f>
        <v>23</v>
      </c>
      <c r="BH53" s="18"/>
    </row>
    <row r="54" spans="1:60" ht="16" x14ac:dyDescent="0.2">
      <c r="A54" s="103" t="s">
        <v>286</v>
      </c>
      <c r="B54" s="38" t="str">
        <f>_xlfn.IFNA(INDEX('RD1 Eagle'!$I$2:$I$154,MATCH(Men_5[[#This Row],[Rider]],'RD1 Eagle'!$F$2:$F$154,0)),"")</f>
        <v/>
      </c>
      <c r="C54" s="38" t="str">
        <f>_xlfn.IFNA(INDEX('RD2 Shepherds'!$I$2:$I$143,MATCH(Men_5[[#This Row],[Rider]],'RD2 Shepherds'!$F$2:$F$143,0)),"")</f>
        <v/>
      </c>
      <c r="D54" s="38" t="str">
        <f>_xlfn.IFNA(INDEX('RD3 XCO Sheps'!$I$2:$I$190,MATCH(Men_5[[#This Row],[Rider]],'RD3 XCO Sheps'!$F$2:$F$190,0)),"")</f>
        <v/>
      </c>
      <c r="E54" s="38">
        <f>_xlfn.IFNA(INDEX('RD4 Ohalloran'!$I$2:$I$180,MATCH(Men_5[[#This Row],[Rider]],'RD4 Ohalloran'!$F$2:$F$180,0)),"")</f>
        <v>234</v>
      </c>
      <c r="F54" s="38">
        <f>_xlfn.IFNA(INDEX('RD5 Craigburn'!$I$2:$I$164,MATCH(Men_5[[#This Row],[Rider]],'RD5 Craigburn'!$F$2:$F$164,0)),"")</f>
        <v>252</v>
      </c>
      <c r="G54" s="38" t="str">
        <f>_xlfn.IFNA(INDEX('RD6 Kinchina'!$I$2:$I$200,MATCH(Men_5[[#This Row],[Rider]],'RD6 Kinchina'!$F$2:$F$200,0)),"")</f>
        <v/>
      </c>
      <c r="H54" s="38" t="str">
        <f>_xlfn.IFNA(INDEX('RD7 O''Hallaron'!$I$2:$I$190,MATCH(Men_5[[#This Row],[Rider]],'RD7 O''Hallaron'!$F$2:$F$201,0)),"")</f>
        <v/>
      </c>
      <c r="I54" s="38" t="str">
        <f>_xlfn.IFNA(INDEX('RD8 Fox Creek'!$I$2:$I$204,MATCH(Men_5[[#This Row],[Rider]],'RD8 Fox Creek'!$F$2:$F$204,0)),"")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2</v>
      </c>
      <c r="L54" s="59">
        <f>3-COUNTBLANK(Men_5[[#This Row],[RD1 XCC Eagle]:[RD3 XCO Sheps]])</f>
        <v>0</v>
      </c>
      <c r="M54" s="59">
        <f>4-COUNTBLANK(Men_5[[#This Row],[RD4 XCO Ohal]:[RD7 XCO O''Halloran]])</f>
        <v>2</v>
      </c>
      <c r="N54" s="59">
        <f>2-COUNTBLANK(Men_5[[#This Row],[RD8 XCO Fox Creek]:[RD9 XCO Willowie]])</f>
        <v>0</v>
      </c>
      <c r="O54" s="59" cm="1">
        <f t="array" ref="O54">IF(Men_5[[#This Row],[Number of Rounds]]&lt;=6,SUM(IF(ISNA(B54:J54),0,B54:J54)),SUM(LARGE(B54:J54,{1,2,3,4,5,6})))</f>
        <v>486</v>
      </c>
      <c r="P54" s="59" cm="1">
        <f t="array" ref="P54">IF(Men_5[[#This Row],[Number of Rounds XCM]]&lt;=3,SUM(IF(ISNA(E54:H54),0,E54:H54)),SUM(LARGE(E54:H54,{1,2,3})))</f>
        <v>486</v>
      </c>
      <c r="Q54" s="59">
        <f>SUM(Men_5[[#This Row],[RD8 XCO Fox Creek]:[RD9 XCO Willowie]])</f>
        <v>0</v>
      </c>
      <c r="R54" s="59">
        <f>Men_5[[#This Row],[Best 6 of 8 Overall]]+Men_5[[#This Row],[Best 3 of 4 XCM]]+Men_5[[#This Row],[Total of 2 XCO]]</f>
        <v>972</v>
      </c>
      <c r="S54" s="134" cm="1">
        <f t="array" ref="S54">68-SUM(IF(O54&gt;$O$18:$O$212,1/COUNTIF($O$18:$O$212,$O$18:$O$212)))</f>
        <v>32.999999999999837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3"/>
      <c r="AP54" s="69" t="str">
        <f>_xlfn.IFNA(INDEX('RD1 Eagle'!$I$2:$I$154,MATCH(Junior7[[#This Row],[Rider]],'RD1 Eagle'!$F$2:$F$154,0)),"")</f>
        <v/>
      </c>
      <c r="AQ54" s="34" t="str">
        <f>_xlfn.IFNA(INDEX('RD2 Shepherds'!$I$2:$I$143,MATCH(Junior7[[#This Row],[Rider]],'RD2 Shepherds'!$F$2:$F$143,0)),"")</f>
        <v/>
      </c>
      <c r="AR54" s="34" t="str">
        <f>_xlfn.IFNA(INDEX('RD3 XCO Sheps'!$I$2:$I$190,MATCH(Junior7[[#This Row],[Rider]],'RD3 XCO Sheps'!$F$2:$F$190,0)),"")</f>
        <v/>
      </c>
      <c r="AS54" s="34" t="str">
        <f>_xlfn.IFNA(INDEX('RD4 Ohalloran'!$I$2:$I$184,MATCH(Junior7[[#This Row],[Rider]],'RD4 Ohalloran'!$F$2:$F$184,0)),"")</f>
        <v/>
      </c>
      <c r="AT54" s="34" t="str">
        <f>_xlfn.IFNA(INDEX('RD5 Craigburn'!$I$2:$I$168,MATCH(Junior7[[#This Row],[Rider]],'RD5 Craigburn'!$F$2:$F$168,0)),"")</f>
        <v/>
      </c>
      <c r="AU54" s="34" t="str">
        <f>_xlfn.IFNA(INDEX('RD6 Kinchina'!$I$2:$I$199,MATCH(Junior7[[#This Row],[Rider]],'RD6 Kinchina'!$F$2:$F$199,0)),"")</f>
        <v/>
      </c>
      <c r="AV54" s="34" t="str">
        <f>_xlfn.IFNA(INDEX('RD7 O''Hallaron'!$I$2:$I$190,MATCH(Junior7[[#This Row],[Rider]],'RD7 O''Hallaron'!$F$2:$F$201,0)),"")</f>
        <v/>
      </c>
      <c r="AW54" s="34" t="str">
        <f>_xlfn.IFNA(INDEX('RD8 Fox Creek'!$I$2:$I$204,MATCH(Junior7[[#This Row],[Rider]],'RD8 Fox Creek'!$F$2:$F$204,0)),"")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0</v>
      </c>
      <c r="AZ54" s="24">
        <f>3-COUNTBLANK(Junior7[[#This Row],[RD1 XCC Eagle]:[RD3 XCO Sheps]])</f>
        <v>0</v>
      </c>
      <c r="BA54" s="24">
        <f>4-COUNTBLANK(Junior7[[#This Row],[RD4 XCO Ohal]:[RD7 XCO O''Halloran]])</f>
        <v>0</v>
      </c>
      <c r="BB54" s="24">
        <f>2-COUNTBLANK(Junior7[[#This Row],[RD8 XCO Fox Creek]:[RD9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Fox Creek]:[RD9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23-SUM(IF(BC54&gt;$BC$18:$BC$71,1/COUNTIF($BC$18:$BC$71,$BC$18:$BC$71)))</f>
        <v>23</v>
      </c>
      <c r="BH54" s="18"/>
    </row>
    <row r="55" spans="1:60" ht="16" x14ac:dyDescent="0.2">
      <c r="A55" s="103" t="s">
        <v>284</v>
      </c>
      <c r="B55" s="38" t="str">
        <f>_xlfn.IFNA(INDEX('RD1 Eagle'!$I$2:$I$154,MATCH(Men_5[[#This Row],[Rider]],'RD1 Eagle'!$F$2:$F$154,0)),"")</f>
        <v/>
      </c>
      <c r="C55" s="38" t="str">
        <f>_xlfn.IFNA(INDEX('RD2 Shepherds'!$I$2:$I$143,MATCH(Men_5[[#This Row],[Rider]],'RD2 Shepherds'!$F$2:$F$143,0)),"")</f>
        <v/>
      </c>
      <c r="D55" s="41" t="str">
        <f>_xlfn.IFNA(INDEX('RD3 XCO Sheps'!$I$2:$I$190,MATCH(Men_5[[#This Row],[Rider]],'RD3 XCO Sheps'!$F$2:$F$190,0)),"")</f>
        <v/>
      </c>
      <c r="E55" s="41">
        <f>_xlfn.IFNA(INDEX('RD4 Ohalloran'!$I$2:$I$180,MATCH(Men_5[[#This Row],[Rider]],'RD4 Ohalloran'!$F$2:$F$180,0)),"")</f>
        <v>217</v>
      </c>
      <c r="F55" s="38">
        <f>_xlfn.IFNA(INDEX('RD5 Craigburn'!$I$2:$I$164,MATCH(Men_5[[#This Row],[Rider]],'RD5 Craigburn'!$F$2:$F$164,0)),"")</f>
        <v>266</v>
      </c>
      <c r="G55" s="41" t="str">
        <f>_xlfn.IFNA(INDEX('RD6 Kinchina'!$I$2:$I$200,MATCH(Men_5[[#This Row],[Rider]],'RD6 Kinchina'!$F$2:$F$200,0)),"")</f>
        <v/>
      </c>
      <c r="H55" s="41" t="str">
        <f>_xlfn.IFNA(INDEX('RD7 O''Hallaron'!$I$2:$I$190,MATCH(Men_5[[#This Row],[Rider]],'RD7 O''Hallaron'!$F$2:$F$201,0)),"")</f>
        <v/>
      </c>
      <c r="I55" s="41" t="str">
        <f>_xlfn.IFNA(INDEX('RD8 Fox Creek'!$I$2:$I$204,MATCH(Men_5[[#This Row],[Rider]],'RD8 Fox Creek'!$F$2:$F$204,0)),"")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2</v>
      </c>
      <c r="L55" s="59">
        <f>3-COUNTBLANK(Men_5[[#This Row],[RD1 XCC Eagle]:[RD3 XCO Sheps]])</f>
        <v>0</v>
      </c>
      <c r="M55" s="59">
        <f>4-COUNTBLANK(Men_5[[#This Row],[RD4 XCO Ohal]:[RD7 XCO O''Halloran]])</f>
        <v>2</v>
      </c>
      <c r="N55" s="59">
        <f>2-COUNTBLANK(Men_5[[#This Row],[RD8 XCO Fox Creek]:[RD9 XCO Willowie]])</f>
        <v>0</v>
      </c>
      <c r="O55" s="59" cm="1">
        <f t="array" ref="O55">IF(Men_5[[#This Row],[Number of Rounds]]&lt;=6,SUM(IF(ISNA(B55:J55),0,B55:J55)),SUM(LARGE(B55:J55,{1,2,3,4,5,6})))</f>
        <v>483</v>
      </c>
      <c r="P55" s="59" cm="1">
        <f t="array" ref="P55">IF(Men_5[[#This Row],[Number of Rounds XCM]]&lt;=3,SUM(IF(ISNA(E55:H55),0,E55:H55)),SUM(LARGE(E55:H55,{1,2,3})))</f>
        <v>483</v>
      </c>
      <c r="Q55" s="59">
        <f>SUM(Men_5[[#This Row],[RD8 XCO Fox Creek]:[RD9 XCO Willowie]])</f>
        <v>0</v>
      </c>
      <c r="R55" s="59">
        <f>Men_5[[#This Row],[Best 6 of 8 Overall]]+Men_5[[#This Row],[Best 3 of 4 XCM]]+Men_5[[#This Row],[Total of 2 XCO]]</f>
        <v>966</v>
      </c>
      <c r="S55" s="134" cm="1">
        <f t="array" ref="S55">68-SUM(IF(O55&gt;$O$18:$O$212,1/COUNTIF($O$18:$O$212,$O$18:$O$212)))</f>
        <v>33.999999999999837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3"/>
      <c r="AP55" s="34" t="str">
        <f>_xlfn.IFNA(INDEX('RD1 Eagle'!$I$2:$I$154,MATCH(Junior7[[#This Row],[Rider]],'RD1 Eagle'!$F$2:$F$154,0)),"")</f>
        <v/>
      </c>
      <c r="AQ55" s="34" t="str">
        <f>_xlfn.IFNA(INDEX('RD2 Shepherds'!$I$2:$I$143,MATCH(Junior7[[#This Row],[Rider]],'RD2 Shepherds'!$F$2:$F$143,0)),"")</f>
        <v/>
      </c>
      <c r="AR55" s="34" t="str">
        <f>_xlfn.IFNA(INDEX('RD3 XCO Sheps'!$I$2:$I$190,MATCH(Junior7[[#This Row],[Rider]],'RD3 XCO Sheps'!$F$2:$F$190,0)),"")</f>
        <v/>
      </c>
      <c r="AS55" s="34" t="str">
        <f>_xlfn.IFNA(INDEX('RD4 Ohalloran'!$I$2:$I$184,MATCH(Junior7[[#This Row],[Rider]],'RD4 Ohalloran'!$F$2:$F$184,0)),"")</f>
        <v/>
      </c>
      <c r="AT55" s="34" t="str">
        <f>_xlfn.IFNA(INDEX('RD5 Craigburn'!$I$2:$I$168,MATCH(Junior7[[#This Row],[Rider]],'RD5 Craigburn'!$F$2:$F$168,0)),"")</f>
        <v/>
      </c>
      <c r="AU55" s="34" t="str">
        <f>_xlfn.IFNA(INDEX('RD6 Kinchina'!$I$2:$I$199,MATCH(Junior7[[#This Row],[Rider]],'RD6 Kinchina'!$F$2:$F$199,0)),"")</f>
        <v/>
      </c>
      <c r="AV55" s="34" t="str">
        <f>_xlfn.IFNA(INDEX('RD7 O''Hallaron'!$I$2:$I$190,MATCH(Junior7[[#This Row],[Rider]],'RD7 O''Hallaron'!$F$2:$F$201,0)),"")</f>
        <v/>
      </c>
      <c r="AW55" s="34" t="str">
        <f>_xlfn.IFNA(INDEX('RD8 Fox Creek'!$I$2:$I$204,MATCH(Junior7[[#This Row],[Rider]],'RD8 Fox Creek'!$F$2:$F$204,0)),"")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O''Halloran]])</f>
        <v>0</v>
      </c>
      <c r="BB55" s="24">
        <f>2-COUNTBLANK(Junior7[[#This Row],[RD8 XCO Fox Creek]:[RD9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Fox Creek]:[RD9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23-SUM(IF(BC55&gt;$BC$18:$BC$71,1/COUNTIF($BC$18:$BC$71,$BC$18:$BC$71)))</f>
        <v>23</v>
      </c>
      <c r="BH55" s="18"/>
    </row>
    <row r="56" spans="1:60" ht="16" x14ac:dyDescent="0.2">
      <c r="A56" s="103" t="s">
        <v>236</v>
      </c>
      <c r="B56" s="38" t="str">
        <f>_xlfn.IFNA(INDEX('RD1 Eagle'!$I$2:$I$154,MATCH(Men_5[[#This Row],[Rider]],'RD1 Eagle'!$F$2:$F$154,0)),"")</f>
        <v/>
      </c>
      <c r="C56" s="38">
        <f>_xlfn.IFNA(INDEX('RD2 Shepherds'!$I$2:$I$143,MATCH(Men_5[[#This Row],[Rider]],'RD2 Shepherds'!$F$2:$F$143,0)),"")</f>
        <v>217</v>
      </c>
      <c r="D56" s="38" t="str">
        <f>_xlfn.IFNA(INDEX('RD3 XCO Sheps'!$I$2:$I$190,MATCH(Men_5[[#This Row],[Rider]],'RD3 XCO Sheps'!$F$2:$F$190,0)),"")</f>
        <v/>
      </c>
      <c r="E56" s="38">
        <f>_xlfn.IFNA(INDEX('RD4 Ohalloran'!$I$2:$I$180,MATCH(Men_5[[#This Row],[Rider]],'RD4 Ohalloran'!$F$2:$F$180,0)),"")</f>
        <v>266</v>
      </c>
      <c r="F56" s="38" t="str">
        <f>_xlfn.IFNA(INDEX('RD5 Craigburn'!$I$2:$I$164,MATCH(Men_5[[#This Row],[Rider]],'RD5 Craigburn'!$F$2:$F$164,0)),"")</f>
        <v/>
      </c>
      <c r="G56" s="38" t="str">
        <f>_xlfn.IFNA(INDEX('RD6 Kinchina'!$I$2:$I$200,MATCH(Men_5[[#This Row],[Rider]],'RD6 Kinchina'!$F$2:$F$200,0)),"")</f>
        <v/>
      </c>
      <c r="H56" s="38" t="str">
        <f>_xlfn.IFNA(INDEX('RD7 O''Hallaron'!$I$2:$I$190,MATCH(Men_5[[#This Row],[Rider]],'RD7 O''Hallaron'!$F$2:$F$201,0)),"")</f>
        <v/>
      </c>
      <c r="I56" s="38" t="str">
        <f>_xlfn.IFNA(INDEX('RD8 Fox Creek'!$I$2:$I$204,MATCH(Men_5[[#This Row],[Rider]],'RD8 Fox Creek'!$F$2:$F$204,0)),"")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2</v>
      </c>
      <c r="L56" s="59">
        <f>3-COUNTBLANK(Men_5[[#This Row],[RD1 XCC Eagle]:[RD3 XCO Sheps]])</f>
        <v>1</v>
      </c>
      <c r="M56" s="59">
        <f>4-COUNTBLANK(Men_5[[#This Row],[RD4 XCO Ohal]:[RD7 XCO O''Halloran]])</f>
        <v>1</v>
      </c>
      <c r="N56" s="59">
        <f>2-COUNTBLANK(Men_5[[#This Row],[RD8 XCO Fox Creek]:[RD9 XCO Willowie]])</f>
        <v>0</v>
      </c>
      <c r="O56" s="59" cm="1">
        <f t="array" ref="O56">IF(Men_5[[#This Row],[Number of Rounds]]&lt;=6,SUM(IF(ISNA(B56:J56),0,B56:J56)),SUM(LARGE(B56:J56,{1,2,3,4,5,6})))</f>
        <v>483</v>
      </c>
      <c r="P56" s="59" cm="1">
        <f t="array" ref="P56">IF(Men_5[[#This Row],[Number of Rounds XCM]]&lt;=3,SUM(IF(ISNA(E56:H56),0,E56:H56)),SUM(LARGE(E56:H56,{1,2,3})))</f>
        <v>266</v>
      </c>
      <c r="Q56" s="59">
        <f>SUM(Men_5[[#This Row],[RD8 XCO Fox Creek]:[RD9 XCO Willowie]])</f>
        <v>0</v>
      </c>
      <c r="R56" s="59">
        <f>Men_5[[#This Row],[Best 6 of 8 Overall]]+Men_5[[#This Row],[Best 3 of 4 XCM]]+Men_5[[#This Row],[Total of 2 XCO]]</f>
        <v>749</v>
      </c>
      <c r="S56" s="134" cm="1">
        <f t="array" ref="S56">68-SUM(IF(O56&gt;$O$18:$O$212,1/COUNTIF($O$18:$O$212,$O$18:$O$212)))</f>
        <v>33.999999999999837</v>
      </c>
      <c r="AN56" s="45"/>
      <c r="AO56" s="103"/>
      <c r="AP56" s="34" t="str">
        <f>_xlfn.IFNA(INDEX('RD1 Eagle'!$I$2:$I$154,MATCH(Junior7[[#This Row],[Rider]],'RD1 Eagle'!$F$2:$F$154,0)),"")</f>
        <v/>
      </c>
      <c r="AQ56" s="34" t="str">
        <f>_xlfn.IFNA(INDEX('RD2 Shepherds'!$I$2:$I$143,MATCH(Junior7[[#This Row],[Rider]],'RD2 Shepherds'!$F$2:$F$143,0)),"")</f>
        <v/>
      </c>
      <c r="AR56" s="34" t="str">
        <f>_xlfn.IFNA(INDEX('RD3 XCO Sheps'!$I$2:$I$190,MATCH(Junior7[[#This Row],[Rider]],'RD3 XCO Sheps'!$F$2:$F$190,0)),"")</f>
        <v/>
      </c>
      <c r="AS56" s="34" t="str">
        <f>_xlfn.IFNA(INDEX('RD4 Ohalloran'!$I$2:$I$184,MATCH(Junior7[[#This Row],[Rider]],'RD4 Ohalloran'!$F$2:$F$184,0)),"")</f>
        <v/>
      </c>
      <c r="AT56" s="34" t="str">
        <f>_xlfn.IFNA(INDEX('RD5 Craigburn'!$I$2:$I$168,MATCH(Junior7[[#This Row],[Rider]],'RD5 Craigburn'!$F$2:$F$168,0)),"")</f>
        <v/>
      </c>
      <c r="AU56" s="34" t="str">
        <f>_xlfn.IFNA(INDEX('RD6 Kinchina'!$I$2:$I$199,MATCH(Junior7[[#This Row],[Rider]],'RD6 Kinchina'!$F$2:$F$199,0)),"")</f>
        <v/>
      </c>
      <c r="AV56" s="34" t="str">
        <f>_xlfn.IFNA(INDEX('RD7 O''Hallaron'!$I$2:$I$190,MATCH(Junior7[[#This Row],[Rider]],'RD7 O''Hallaron'!$F$2:$F$201,0)),"")</f>
        <v/>
      </c>
      <c r="AW56" s="34" t="str">
        <f>_xlfn.IFNA(INDEX('RD8 Fox Creek'!$I$2:$I$204,MATCH(Junior7[[#This Row],[Rider]],'RD8 Fox Creek'!$F$2:$F$204,0)),"")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O''Halloran]])</f>
        <v>0</v>
      </c>
      <c r="BB56" s="24">
        <f>2-COUNTBLANK(Junior7[[#This Row],[RD8 XCO Fox Creek]:[RD9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Fox Creek]:[RD9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23-SUM(IF(BC56&gt;$BC$18:$BC$71,1/COUNTIF($BC$18:$BC$71,$BC$18:$BC$71)))</f>
        <v>23</v>
      </c>
    </row>
    <row r="57" spans="1:60" ht="16" x14ac:dyDescent="0.2">
      <c r="A57" s="103" t="s">
        <v>235</v>
      </c>
      <c r="B57" s="38" t="str">
        <f>_xlfn.IFNA(INDEX('RD1 Eagle'!$I$2:$I$154,MATCH(Men_5[[#This Row],[Rider]],'RD1 Eagle'!$F$2:$F$154,0)),"")</f>
        <v/>
      </c>
      <c r="C57" s="38">
        <f>_xlfn.IFNA(INDEX('RD2 Shepherds'!$I$2:$I$143,MATCH(Men_5[[#This Row],[Rider]],'RD2 Shepherds'!$F$2:$F$143,0)),"")</f>
        <v>224</v>
      </c>
      <c r="D57" s="38" t="str">
        <f>_xlfn.IFNA(INDEX('RD3 XCO Sheps'!$I$2:$I$190,MATCH(Men_5[[#This Row],[Rider]],'RD3 XCO Sheps'!$F$2:$F$190,0)),"")</f>
        <v/>
      </c>
      <c r="E57" s="38">
        <f>_xlfn.IFNA(INDEX('RD4 Ohalloran'!$I$2:$I$180,MATCH(Men_5[[#This Row],[Rider]],'RD4 Ohalloran'!$F$2:$F$180,0)),"")</f>
        <v>251.99999999999997</v>
      </c>
      <c r="F57" s="38" t="str">
        <f>_xlfn.IFNA(INDEX('RD5 Craigburn'!$I$2:$I$164,MATCH(Men_5[[#This Row],[Rider]],'RD5 Craigburn'!$F$2:$F$164,0)),"")</f>
        <v/>
      </c>
      <c r="G57" s="38" t="str">
        <f>_xlfn.IFNA(INDEX('RD6 Kinchina'!$I$2:$I$200,MATCH(Men_5[[#This Row],[Rider]],'RD6 Kinchina'!$F$2:$F$200,0)),"")</f>
        <v/>
      </c>
      <c r="H57" s="38" t="str">
        <f>_xlfn.IFNA(INDEX('RD7 O''Hallaron'!$I$2:$I$190,MATCH(Men_5[[#This Row],[Rider]],'RD7 O''Hallaron'!$F$2:$F$201,0)),"")</f>
        <v/>
      </c>
      <c r="I57" s="38" t="str">
        <f>_xlfn.IFNA(INDEX('RD8 Fox Creek'!$I$2:$I$204,MATCH(Men_5[[#This Row],[Rider]],'RD8 Fox Creek'!$F$2:$F$204,0)),"")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XCO Sheps]])</f>
        <v>1</v>
      </c>
      <c r="M57" s="59">
        <f>4-COUNTBLANK(Men_5[[#This Row],[RD4 XCO Ohal]:[RD7 XCO O''Halloran]])</f>
        <v>1</v>
      </c>
      <c r="N57" s="59">
        <f>2-COUNTBLANK(Men_5[[#This Row],[RD8 XCO Fox Creek]:[RD9 XCO Willowie]])</f>
        <v>0</v>
      </c>
      <c r="O57" s="59" cm="1">
        <f t="array" ref="O57">IF(Men_5[[#This Row],[Number of Rounds]]&lt;=6,SUM(IF(ISNA(B57:J57),0,B57:J57)),SUM(LARGE(B57:J57,{1,2,3,4,5,6})))</f>
        <v>476</v>
      </c>
      <c r="P57" s="59" cm="1">
        <f t="array" ref="P57">IF(Men_5[[#This Row],[Number of Rounds XCM]]&lt;=3,SUM(IF(ISNA(E57:H57),0,E57:H57)),SUM(LARGE(E57:H57,{1,2,3})))</f>
        <v>251.99999999999997</v>
      </c>
      <c r="Q57" s="59">
        <f>SUM(Men_5[[#This Row],[RD8 XCO Fox Creek]:[RD9 XCO Willowie]])</f>
        <v>0</v>
      </c>
      <c r="R57" s="59">
        <f>Men_5[[#This Row],[Best 6 of 8 Overall]]+Men_5[[#This Row],[Best 3 of 4 XCM]]+Men_5[[#This Row],[Total of 2 XCO]]</f>
        <v>728</v>
      </c>
      <c r="S57" s="134" cm="1">
        <f t="array" ref="S57">68-SUM(IF(O57&gt;$O$18:$O$212,1/COUNTIF($O$18:$O$212,$O$18:$O$212)))</f>
        <v>34.999999999999844</v>
      </c>
      <c r="AN57" s="45"/>
      <c r="AO57" s="103"/>
      <c r="AP57" s="34" t="str">
        <f>_xlfn.IFNA(INDEX('RD1 Eagle'!$I$2:$I$154,MATCH(Junior7[[#This Row],[Rider]],'RD1 Eagle'!$F$2:$F$154,0)),"")</f>
        <v/>
      </c>
      <c r="AQ57" s="34" t="str">
        <f>_xlfn.IFNA(INDEX('RD2 Shepherds'!$I$2:$I$143,MATCH(Junior7[[#This Row],[Rider]],'RD2 Shepherds'!$F$2:$F$143,0)),"")</f>
        <v/>
      </c>
      <c r="AR57" s="34" t="str">
        <f>_xlfn.IFNA(INDEX('RD3 XCO Sheps'!$I$2:$I$190,MATCH(Junior7[[#This Row],[Rider]],'RD3 XCO Sheps'!$F$2:$F$190,0)),"")</f>
        <v/>
      </c>
      <c r="AS57" s="34" t="str">
        <f>_xlfn.IFNA(INDEX('RD4 Ohalloran'!$I$2:$I$184,MATCH(Junior7[[#This Row],[Rider]],'RD4 Ohalloran'!$F$2:$F$184,0)),"")</f>
        <v/>
      </c>
      <c r="AT57" s="34" t="str">
        <f>_xlfn.IFNA(INDEX('RD5 Craigburn'!$I$2:$I$168,MATCH(Junior7[[#This Row],[Rider]],'RD5 Craigburn'!$F$2:$F$168,0)),"")</f>
        <v/>
      </c>
      <c r="AU57" s="34" t="str">
        <f>_xlfn.IFNA(INDEX('RD6 Kinchina'!$I$2:$I$199,MATCH(Junior7[[#This Row],[Rider]],'RD6 Kinchina'!$F$2:$F$199,0)),"")</f>
        <v/>
      </c>
      <c r="AV57" s="34" t="str">
        <f>_xlfn.IFNA(INDEX('RD7 O''Hallaron'!$I$2:$I$190,MATCH(Junior7[[#This Row],[Rider]],'RD7 O''Hallaron'!$F$2:$F$201,0)),"")</f>
        <v/>
      </c>
      <c r="AW57" s="34" t="str">
        <f>_xlfn.IFNA(INDEX('RD8 Fox Creek'!$I$2:$I$204,MATCH(Junior7[[#This Row],[Rider]],'RD8 Fox Creek'!$F$2:$F$204,0)),"")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O''Halloran]])</f>
        <v>0</v>
      </c>
      <c r="BB57" s="24">
        <f>2-COUNTBLANK(Junior7[[#This Row],[RD8 XCO Fox Creek]:[RD9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Fox Creek]:[RD9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23-SUM(IF(BC57&gt;$BC$18:$BC$71,1/COUNTIF($BC$18:$BC$71,$BC$18:$BC$71)))</f>
        <v>23</v>
      </c>
    </row>
    <row r="58" spans="1:60" ht="16" x14ac:dyDescent="0.2">
      <c r="A58" s="103" t="s">
        <v>209</v>
      </c>
      <c r="B58" s="38">
        <f>_xlfn.IFNA(INDEX('RD1 Eagle'!$I$2:$I$154,MATCH(Men_5[[#This Row],[Rider]],'RD1 Eagle'!$F$2:$F$154,0)),"")</f>
        <v>222</v>
      </c>
      <c r="C58" s="38">
        <f>_xlfn.IFNA(INDEX('RD2 Shepherds'!$I$2:$I$143,MATCH(Men_5[[#This Row],[Rider]],'RD2 Shepherds'!$F$2:$F$143,0)),"")</f>
        <v>252</v>
      </c>
      <c r="D58" s="38" t="str">
        <f>_xlfn.IFNA(INDEX('RD3 XCO Sheps'!$I$2:$I$190,MATCH(Men_5[[#This Row],[Rider]],'RD3 XCO Sheps'!$F$2:$F$190,0)),"")</f>
        <v/>
      </c>
      <c r="E58" s="38" t="str">
        <f>_xlfn.IFNA(INDEX('RD4 Ohalloran'!$I$2:$I$180,MATCH(Men_5[[#This Row],[Rider]],'RD4 Ohalloran'!$F$2:$F$180,0)),"")</f>
        <v/>
      </c>
      <c r="F58" s="38" t="str">
        <f>_xlfn.IFNA(INDEX('RD5 Craigburn'!$I$2:$I$164,MATCH(Men_5[[#This Row],[Rider]],'RD5 Craigburn'!$F$2:$F$164,0)),"")</f>
        <v/>
      </c>
      <c r="G58" s="38" t="str">
        <f>_xlfn.IFNA(INDEX('RD6 Kinchina'!$I$2:$I$200,MATCH(Men_5[[#This Row],[Rider]],'RD6 Kinchina'!$F$2:$F$200,0)),"")</f>
        <v/>
      </c>
      <c r="H58" s="38" t="str">
        <f>_xlfn.IFNA(INDEX('RD7 O''Hallaron'!$I$2:$I$190,MATCH(Men_5[[#This Row],[Rider]],'RD7 O''Hallaron'!$F$2:$F$201,0)),"")</f>
        <v/>
      </c>
      <c r="I58" s="38" t="str">
        <f>_xlfn.IFNA(INDEX('RD8 Fox Creek'!$I$2:$I$204,MATCH(Men_5[[#This Row],[Rider]],'RD8 Fox Creek'!$F$2:$F$204,0)),"")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2</v>
      </c>
      <c r="L58" s="59">
        <f>3-COUNTBLANK(Men_5[[#This Row],[RD1 XCC Eagle]:[RD3 XCO Sheps]])</f>
        <v>2</v>
      </c>
      <c r="M58" s="59">
        <f>4-COUNTBLANK(Men_5[[#This Row],[RD4 XCO Ohal]:[RD7 XCO O''Halloran]])</f>
        <v>0</v>
      </c>
      <c r="N58" s="59">
        <f>2-COUNTBLANK(Men_5[[#This Row],[RD8 XCO Fox Creek]:[RD9 XCO Willowie]])</f>
        <v>0</v>
      </c>
      <c r="O58" s="59" cm="1">
        <f t="array" ref="O58">IF(Men_5[[#This Row],[Number of Rounds]]&lt;=6,SUM(IF(ISNA(B58:J58),0,B58:J58)),SUM(LARGE(B58:J58,{1,2,3,4,5,6})))</f>
        <v>474</v>
      </c>
      <c r="P58" s="59" cm="1">
        <f t="array" ref="P58">IF(Men_5[[#This Row],[Number of Rounds XCM]]&lt;=3,SUM(IF(ISNA(E58:H58),0,E58:H58)),SUM(LARGE(E58:H58,{1,2,3})))</f>
        <v>0</v>
      </c>
      <c r="Q58" s="59">
        <f>SUM(Men_5[[#This Row],[RD8 XCO Fox Creek]:[RD9 XCO Willowie]])</f>
        <v>0</v>
      </c>
      <c r="R58" s="59">
        <f>Men_5[[#This Row],[Best 6 of 8 Overall]]+Men_5[[#This Row],[Best 3 of 4 XCM]]+Men_5[[#This Row],[Total of 2 XCO]]</f>
        <v>474</v>
      </c>
      <c r="S58" s="134" cm="1">
        <f t="array" ref="S58">68-SUM(IF(O58&gt;$O$18:$O$212,1/COUNTIF($O$18:$O$212,$O$18:$O$212)))</f>
        <v>35.999999999999844</v>
      </c>
      <c r="AN58" s="45"/>
      <c r="AO58" s="103"/>
      <c r="AP58" s="34" t="str">
        <f>_xlfn.IFNA(INDEX('RD1 Eagle'!$I$2:$I$154,MATCH(Junior7[[#This Row],[Rider]],'RD1 Eagle'!$F$2:$F$154,0)),"")</f>
        <v/>
      </c>
      <c r="AQ58" s="34" t="str">
        <f>_xlfn.IFNA(INDEX('RD2 Shepherds'!$I$2:$I$143,MATCH(Junior7[[#This Row],[Rider]],'RD2 Shepherds'!$F$2:$F$143,0)),"")</f>
        <v/>
      </c>
      <c r="AR58" s="34" t="str">
        <f>_xlfn.IFNA(INDEX('RD3 XCO Sheps'!$I$2:$I$190,MATCH(Junior7[[#This Row],[Rider]],'RD3 XCO Sheps'!$F$2:$F$190,0)),"")</f>
        <v/>
      </c>
      <c r="AS58" s="34" t="str">
        <f>_xlfn.IFNA(INDEX('RD4 Ohalloran'!$I$2:$I$184,MATCH(Junior7[[#This Row],[Rider]],'RD4 Ohalloran'!$F$2:$F$184,0)),"")</f>
        <v/>
      </c>
      <c r="AT58" s="34" t="str">
        <f>_xlfn.IFNA(INDEX('RD5 Craigburn'!$I$2:$I$168,MATCH(Junior7[[#This Row],[Rider]],'RD5 Craigburn'!$F$2:$F$168,0)),"")</f>
        <v/>
      </c>
      <c r="AU58" s="34" t="str">
        <f>_xlfn.IFNA(INDEX('RD6 Kinchina'!$I$2:$I$199,MATCH(Junior7[[#This Row],[Rider]],'RD6 Kinchina'!$F$2:$F$199,0)),"")</f>
        <v/>
      </c>
      <c r="AV58" s="34" t="str">
        <f>_xlfn.IFNA(INDEX('RD7 O''Hallaron'!$I$2:$I$190,MATCH(Junior7[[#This Row],[Rider]],'RD7 O''Hallaron'!$F$2:$F$201,0)),"")</f>
        <v/>
      </c>
      <c r="AW58" s="34" t="str">
        <f>_xlfn.IFNA(INDEX('RD8 Fox Creek'!$I$2:$I$204,MATCH(Junior7[[#This Row],[Rider]],'RD8 Fox Creek'!$F$2:$F$204,0)),"")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O''Halloran]])</f>
        <v>0</v>
      </c>
      <c r="BB58" s="24">
        <f>2-COUNTBLANK(Junior7[[#This Row],[RD8 XCO Fox Creek]:[RD9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Fox Creek]:[RD9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23-SUM(IF(BC58&gt;$BC$18:$BC$71,1/COUNTIF($BC$18:$BC$71,$BC$18:$BC$71)))</f>
        <v>23</v>
      </c>
    </row>
    <row r="59" spans="1:60" ht="16" x14ac:dyDescent="0.2">
      <c r="A59" s="103" t="s">
        <v>166</v>
      </c>
      <c r="B59" s="38">
        <f>_xlfn.IFNA(INDEX('RD1 Eagle'!$I$2:$I$154,MATCH(Men_5[[#This Row],[Rider]],'RD1 Eagle'!$F$2:$F$154,0)),"")</f>
        <v>240</v>
      </c>
      <c r="C59" s="38" t="str">
        <f>_xlfn.IFNA(INDEX('RD2 Shepherds'!$I$2:$I$143,MATCH(Men_5[[#This Row],[Rider]],'RD2 Shepherds'!$F$2:$F$143,0)),"")</f>
        <v/>
      </c>
      <c r="D59" s="38" t="str">
        <f>_xlfn.IFNA(INDEX('RD3 XCO Sheps'!$I$2:$I$190,MATCH(Men_5[[#This Row],[Rider]],'RD3 XCO Sheps'!$F$2:$F$190,0)),"")</f>
        <v/>
      </c>
      <c r="E59" s="38">
        <f>_xlfn.IFNA(INDEX('RD4 Ohalloran'!$I$2:$I$180,MATCH(Men_5[[#This Row],[Rider]],'RD4 Ohalloran'!$F$2:$F$180,0)),"")</f>
        <v>228</v>
      </c>
      <c r="F59" s="38" t="str">
        <f>_xlfn.IFNA(INDEX('RD5 Craigburn'!$I$2:$I$164,MATCH(Men_5[[#This Row],[Rider]],'RD5 Craigburn'!$F$2:$F$164,0)),"")</f>
        <v/>
      </c>
      <c r="G59" s="38" t="str">
        <f>_xlfn.IFNA(INDEX('RD6 Kinchina'!$I$2:$I$200,MATCH(Men_5[[#This Row],[Rider]],'RD6 Kinchina'!$F$2:$F$200,0)),"")</f>
        <v/>
      </c>
      <c r="H59" s="38" t="str">
        <f>_xlfn.IFNA(INDEX('RD7 O''Hallaron'!$I$2:$I$190,MATCH(Men_5[[#This Row],[Rider]],'RD7 O''Hallaron'!$F$2:$F$201,0)),"")</f>
        <v/>
      </c>
      <c r="I59" s="38" t="str">
        <f>_xlfn.IFNA(INDEX('RD8 Fox Creek'!$I$2:$I$204,MATCH(Men_5[[#This Row],[Rider]],'RD8 Fox Creek'!$F$2:$F$204,0)),"")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2</v>
      </c>
      <c r="L59" s="59">
        <f>3-COUNTBLANK(Men_5[[#This Row],[RD1 XCC Eagle]:[RD3 XCO Sheps]])</f>
        <v>1</v>
      </c>
      <c r="M59" s="59">
        <f>4-COUNTBLANK(Men_5[[#This Row],[RD4 XCO Ohal]:[RD7 XCO O''Halloran]])</f>
        <v>1</v>
      </c>
      <c r="N59" s="59">
        <f>2-COUNTBLANK(Men_5[[#This Row],[RD8 XCO Fox Creek]:[RD9 XCO Willowie]])</f>
        <v>0</v>
      </c>
      <c r="O59" s="59" cm="1">
        <f t="array" ref="O59">IF(Men_5[[#This Row],[Number of Rounds]]&lt;=6,SUM(IF(ISNA(B59:J59),0,B59:J59)),SUM(LARGE(B59:J59,{1,2,3,4,5,6})))</f>
        <v>468</v>
      </c>
      <c r="P59" s="59" cm="1">
        <f t="array" ref="P59">IF(Men_5[[#This Row],[Number of Rounds XCM]]&lt;=3,SUM(IF(ISNA(E59:H59),0,E59:H59)),SUM(LARGE(E59:H59,{1,2,3})))</f>
        <v>228</v>
      </c>
      <c r="Q59" s="59">
        <f>SUM(Men_5[[#This Row],[RD8 XCO Fox Creek]:[RD9 XCO Willowie]])</f>
        <v>0</v>
      </c>
      <c r="R59" s="59">
        <f>Men_5[[#This Row],[Best 6 of 8 Overall]]+Men_5[[#This Row],[Best 3 of 4 XCM]]+Men_5[[#This Row],[Total of 2 XCO]]</f>
        <v>696</v>
      </c>
      <c r="S59" s="134" cm="1">
        <f t="array" ref="S59">68-SUM(IF(O59&gt;$O$18:$O$212,1/COUNTIF($O$18:$O$212,$O$18:$O$212)))</f>
        <v>36.999999999999844</v>
      </c>
      <c r="AN59" s="45"/>
      <c r="AO59" s="103"/>
      <c r="AP59" s="34" t="str">
        <f>_xlfn.IFNA(INDEX('RD1 Eagle'!$I$2:$I$154,MATCH(Junior7[[#This Row],[Rider]],'RD1 Eagle'!$F$2:$F$154,0)),"")</f>
        <v/>
      </c>
      <c r="AQ59" s="34" t="str">
        <f>_xlfn.IFNA(INDEX('RD2 Shepherds'!$I$2:$I$143,MATCH(Junior7[[#This Row],[Rider]],'RD2 Shepherds'!$F$2:$F$143,0)),"")</f>
        <v/>
      </c>
      <c r="AR59" s="34" t="str">
        <f>_xlfn.IFNA(INDEX('RD3 XCO Sheps'!$I$2:$I$190,MATCH(Junior7[[#This Row],[Rider]],'RD3 XCO Sheps'!$F$2:$F$190,0)),"")</f>
        <v/>
      </c>
      <c r="AS59" s="34" t="str">
        <f>_xlfn.IFNA(INDEX('RD4 Ohalloran'!$I$2:$I$184,MATCH(Junior7[[#This Row],[Rider]],'RD4 Ohalloran'!$F$2:$F$184,0)),"")</f>
        <v/>
      </c>
      <c r="AT59" s="34" t="str">
        <f>_xlfn.IFNA(INDEX('RD5 Craigburn'!$I$2:$I$168,MATCH(Junior7[[#This Row],[Rider]],'RD5 Craigburn'!$F$2:$F$168,0)),"")</f>
        <v/>
      </c>
      <c r="AU59" s="34" t="str">
        <f>_xlfn.IFNA(INDEX('RD6 Kinchina'!$I$2:$I$199,MATCH(Junior7[[#This Row],[Rider]],'RD6 Kinchina'!$F$2:$F$199,0)),"")</f>
        <v/>
      </c>
      <c r="AV59" s="34" t="str">
        <f>_xlfn.IFNA(INDEX('RD7 O''Hallaron'!$I$2:$I$190,MATCH(Junior7[[#This Row],[Rider]],'RD7 O''Hallaron'!$F$2:$F$201,0)),"")</f>
        <v/>
      </c>
      <c r="AW59" s="34" t="str">
        <f>_xlfn.IFNA(INDEX('RD8 Fox Creek'!$I$2:$I$204,MATCH(Junior7[[#This Row],[Rider]],'RD8 Fox Creek'!$F$2:$F$204,0)),"")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O''Halloran]])</f>
        <v>0</v>
      </c>
      <c r="BB59" s="24">
        <f>2-COUNTBLANK(Junior7[[#This Row],[RD8 XCO Fox Creek]:[RD9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Fox Creek]:[RD9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23-SUM(IF(BC59&gt;$BC$18:$BC$71,1/COUNTIF($BC$18:$BC$71,$BC$18:$BC$71)))</f>
        <v>23</v>
      </c>
    </row>
    <row r="60" spans="1:60" ht="16" x14ac:dyDescent="0.2">
      <c r="A60" s="103" t="s">
        <v>290</v>
      </c>
      <c r="B60" s="38" t="str">
        <f>_xlfn.IFNA(INDEX('RD1 Eagle'!$I$2:$I$154,MATCH(Men_5[[#This Row],[Rider]],'RD1 Eagle'!$F$2:$F$154,0)),"")</f>
        <v/>
      </c>
      <c r="C60" s="38" t="str">
        <f>_xlfn.IFNA(INDEX('RD2 Shepherds'!$I$2:$I$143,MATCH(Men_5[[#This Row],[Rider]],'RD2 Shepherds'!$F$2:$F$143,0)),"")</f>
        <v/>
      </c>
      <c r="D60" s="38" t="str">
        <f>_xlfn.IFNA(INDEX('RD3 XCO Sheps'!$I$2:$I$190,MATCH(Men_5[[#This Row],[Rider]],'RD3 XCO Sheps'!$F$2:$F$190,0)),"")</f>
        <v/>
      </c>
      <c r="E60" s="38" t="str">
        <f>_xlfn.IFNA(INDEX('RD4 Ohalloran'!$I$2:$I$180,MATCH(Men_5[[#This Row],[Rider]],'RD4 Ohalloran'!$F$2:$F$180,0)),"")</f>
        <v/>
      </c>
      <c r="F60" s="38">
        <f>_xlfn.IFNA(INDEX('RD5 Craigburn'!$I$2:$I$164,MATCH(Men_5[[#This Row],[Rider]],'RD5 Craigburn'!$F$2:$F$164,0)),"")</f>
        <v>450</v>
      </c>
      <c r="G60" s="38" t="str">
        <f>_xlfn.IFNA(INDEX('RD6 Kinchina'!$I$2:$I$200,MATCH(Men_5[[#This Row],[Rider]],'RD6 Kinchina'!$F$2:$F$200,0)),"")</f>
        <v/>
      </c>
      <c r="H60" s="38" t="str">
        <f>_xlfn.IFNA(INDEX('RD7 O''Hallaron'!$I$2:$I$190,MATCH(Men_5[[#This Row],[Rider]],'RD7 O''Hallaron'!$F$2:$F$201,0)),"")</f>
        <v/>
      </c>
      <c r="I60" s="38" t="str">
        <f>_xlfn.IFNA(INDEX('RD8 Fox Creek'!$I$2:$I$204,MATCH(Men_5[[#This Row],[Rider]],'RD8 Fox Creek'!$F$2:$F$204,0)),"")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1</v>
      </c>
      <c r="L60" s="59">
        <f>3-COUNTBLANK(Men_5[[#This Row],[RD1 XCC Eagle]:[RD3 XCO Sheps]])</f>
        <v>0</v>
      </c>
      <c r="M60" s="59">
        <f>4-COUNTBLANK(Men_5[[#This Row],[RD4 XCO Ohal]:[RD7 XCO O''Halloran]])</f>
        <v>1</v>
      </c>
      <c r="N60" s="59">
        <f>2-COUNTBLANK(Men_5[[#This Row],[RD8 XCO Fox Creek]:[RD9 XCO Willowie]])</f>
        <v>0</v>
      </c>
      <c r="O60" s="59" cm="1">
        <f t="array" ref="O60">IF(Men_5[[#This Row],[Number of Rounds]]&lt;=6,SUM(IF(ISNA(B60:J60),0,B60:J60)),SUM(LARGE(B60:J60,{1,2,3,4,5,6})))</f>
        <v>450</v>
      </c>
      <c r="P60" s="59" cm="1">
        <f t="array" ref="P60">IF(Men_5[[#This Row],[Number of Rounds XCM]]&lt;=3,SUM(IF(ISNA(E60:H60),0,E60:H60)),SUM(LARGE(E60:H60,{1,2,3})))</f>
        <v>450</v>
      </c>
      <c r="Q60" s="59">
        <f>SUM(Men_5[[#This Row],[RD8 XCO Fox Creek]:[RD9 XCO Willowie]])</f>
        <v>0</v>
      </c>
      <c r="R60" s="59">
        <f>Men_5[[#This Row],[Best 6 of 8 Overall]]+Men_5[[#This Row],[Best 3 of 4 XCM]]+Men_5[[#This Row],[Total of 2 XCO]]</f>
        <v>900</v>
      </c>
      <c r="S60" s="134" cm="1">
        <f t="array" ref="S60">68-SUM(IF(O60&gt;$O$18:$O$212,1/COUNTIF($O$18:$O$212,$O$18:$O$212)))</f>
        <v>37.999999999999844</v>
      </c>
      <c r="AN60" s="45"/>
      <c r="AO60" s="103"/>
      <c r="AP60" s="34" t="str">
        <f>_xlfn.IFNA(INDEX('RD1 Eagle'!$I$2:$I$154,MATCH(Junior7[[#This Row],[Rider]],'RD1 Eagle'!$F$2:$F$154,0)),"")</f>
        <v/>
      </c>
      <c r="AQ60" s="34" t="str">
        <f>_xlfn.IFNA(INDEX('RD2 Shepherds'!$I$2:$I$143,MATCH(Junior7[[#This Row],[Rider]],'RD2 Shepherds'!$F$2:$F$143,0)),"")</f>
        <v/>
      </c>
      <c r="AR60" s="34" t="str">
        <f>_xlfn.IFNA(INDEX('RD3 XCO Sheps'!$I$2:$I$190,MATCH(Junior7[[#This Row],[Rider]],'RD3 XCO Sheps'!$F$2:$F$190,0)),"")</f>
        <v/>
      </c>
      <c r="AS60" s="34" t="str">
        <f>_xlfn.IFNA(INDEX('RD4 Ohalloran'!$I$2:$I$184,MATCH(Junior7[[#This Row],[Rider]],'RD4 Ohalloran'!$F$2:$F$184,0)),"")</f>
        <v/>
      </c>
      <c r="AT60" s="34" t="str">
        <f>_xlfn.IFNA(INDEX('RD5 Craigburn'!$I$2:$I$168,MATCH(Junior7[[#This Row],[Rider]],'RD5 Craigburn'!$F$2:$F$168,0)),"")</f>
        <v/>
      </c>
      <c r="AU60" s="57" t="str">
        <f>_xlfn.IFNA(INDEX('RD6 Kinchina'!$I$2:$I$199,MATCH(Junior7[[#This Row],[Rider]],'RD6 Kinchina'!$F$2:$F$199,0)),"")</f>
        <v/>
      </c>
      <c r="AV60" s="57" t="str">
        <f>_xlfn.IFNA(INDEX('RD7 O''Hallaron'!$I$2:$I$190,MATCH(Junior7[[#This Row],[Rider]],'RD7 O''Hallaron'!$F$2:$F$201,0)),"")</f>
        <v/>
      </c>
      <c r="AW60" s="57" t="str">
        <f>_xlfn.IFNA(INDEX('RD8 Fox Creek'!$I$2:$I$204,MATCH(Junior7[[#This Row],[Rider]],'RD8 Fox Creek'!$F$2:$F$204,0)),"")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O''Halloran]])</f>
        <v>0</v>
      </c>
      <c r="BB60" s="24">
        <f>2-COUNTBLANK(Junior7[[#This Row],[RD8 XCO Fox Creek]:[RD9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Fox Creek]:[RD9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23-SUM(IF(BC60&gt;$BC$18:$BC$71,1/COUNTIF($BC$18:$BC$71,$BC$18:$BC$71)))</f>
        <v>23</v>
      </c>
    </row>
    <row r="61" spans="1:60" ht="16" x14ac:dyDescent="0.2">
      <c r="A61" s="103" t="s">
        <v>193</v>
      </c>
      <c r="B61" s="38">
        <f>_xlfn.IFNA(INDEX('RD1 Eagle'!$I$2:$I$154,MATCH(Men_5[[#This Row],[Rider]],'RD1 Eagle'!$F$2:$F$154,0)),"")</f>
        <v>450</v>
      </c>
      <c r="C61" s="38" t="str">
        <f>_xlfn.IFNA(INDEX('RD2 Shepherds'!$I$2:$I$143,MATCH(Men_5[[#This Row],[Rider]],'RD2 Shepherds'!$F$2:$F$143,0)),"")</f>
        <v/>
      </c>
      <c r="D61" s="38" t="str">
        <f>_xlfn.IFNA(INDEX('RD3 XCO Sheps'!$I$2:$I$190,MATCH(Men_5[[#This Row],[Rider]],'RD3 XCO Sheps'!$F$2:$F$190,0)),"")</f>
        <v/>
      </c>
      <c r="E61" s="38" t="str">
        <f>_xlfn.IFNA(INDEX('RD4 Ohalloran'!$I$2:$I$180,MATCH(Men_5[[#This Row],[Rider]],'RD4 Ohalloran'!$F$2:$F$180,0)),"")</f>
        <v/>
      </c>
      <c r="F61" s="38" t="str">
        <f>_xlfn.IFNA(INDEX('RD5 Craigburn'!$I$2:$I$164,MATCH(Men_5[[#This Row],[Rider]],'RD5 Craigburn'!$F$2:$F$164,0)),"")</f>
        <v/>
      </c>
      <c r="G61" s="38" t="str">
        <f>_xlfn.IFNA(INDEX('RD6 Kinchina'!$I$2:$I$200,MATCH(Men_5[[#This Row],[Rider]],'RD6 Kinchina'!$F$2:$F$200,0)),"")</f>
        <v/>
      </c>
      <c r="H61" s="38" t="str">
        <f>_xlfn.IFNA(INDEX('RD7 O''Hallaron'!$I$2:$I$190,MATCH(Men_5[[#This Row],[Rider]],'RD7 O''Hallaron'!$F$2:$F$201,0)),"")</f>
        <v/>
      </c>
      <c r="I61" s="38" t="str">
        <f>_xlfn.IFNA(INDEX('RD8 Fox Creek'!$I$2:$I$204,MATCH(Men_5[[#This Row],[Rider]],'RD8 Fox Creek'!$F$2:$F$204,0)),"")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1</v>
      </c>
      <c r="L61" s="59">
        <f>3-COUNTBLANK(Men_5[[#This Row],[RD1 XCC Eagle]:[RD3 XCO Sheps]])</f>
        <v>1</v>
      </c>
      <c r="M61" s="59">
        <f>4-COUNTBLANK(Men_5[[#This Row],[RD4 XCO Ohal]:[RD7 XCO O''Halloran]])</f>
        <v>0</v>
      </c>
      <c r="N61" s="59">
        <f>2-COUNTBLANK(Men_5[[#This Row],[RD8 XCO Fox Creek]:[RD9 XCO Willowie]])</f>
        <v>0</v>
      </c>
      <c r="O61" s="59" cm="1">
        <f t="array" ref="O61">IF(Men_5[[#This Row],[Number of Rounds]]&lt;=6,SUM(IF(ISNA(B61:J61),0,B61:J61)),SUM(LARGE(B61:J61,{1,2,3,4,5,6})))</f>
        <v>450</v>
      </c>
      <c r="P61" s="59" cm="1">
        <f t="array" ref="P61">IF(Men_5[[#This Row],[Number of Rounds XCM]]&lt;=3,SUM(IF(ISNA(E61:H61),0,E61:H61)),SUM(LARGE(E61:H61,{1,2,3})))</f>
        <v>0</v>
      </c>
      <c r="Q61" s="59">
        <f>SUM(Men_5[[#This Row],[RD8 XCO Fox Creek]:[RD9 XCO Willowie]])</f>
        <v>0</v>
      </c>
      <c r="R61" s="59">
        <f>Men_5[[#This Row],[Best 6 of 8 Overall]]+Men_5[[#This Row],[Best 3 of 4 XCM]]+Men_5[[#This Row],[Total of 2 XCO]]</f>
        <v>450</v>
      </c>
      <c r="S61" s="134" cm="1">
        <f t="array" ref="S61">68-SUM(IF(O61&gt;$O$18:$O$212,1/COUNTIF($O$18:$O$212,$O$18:$O$212)))</f>
        <v>37.999999999999844</v>
      </c>
      <c r="AN61" s="45"/>
      <c r="AO61" s="103"/>
      <c r="AP61" s="34" t="str">
        <f>_xlfn.IFNA(INDEX('RD1 Eagle'!$I$2:$I$154,MATCH(Junior7[[#This Row],[Rider]],'RD1 Eagle'!$F$2:$F$154,0)),"")</f>
        <v/>
      </c>
      <c r="AQ61" s="34" t="str">
        <f>_xlfn.IFNA(INDEX('RD2 Shepherds'!$I$2:$I$143,MATCH(Junior7[[#This Row],[Rider]],'RD2 Shepherds'!$F$2:$F$143,0)),"")</f>
        <v/>
      </c>
      <c r="AR61" s="34" t="str">
        <f>_xlfn.IFNA(INDEX('RD3 XCO Sheps'!$I$2:$I$190,MATCH(Junior7[[#This Row],[Rider]],'RD3 XCO Sheps'!$F$2:$F$190,0)),"")</f>
        <v/>
      </c>
      <c r="AS61" s="34" t="str">
        <f>_xlfn.IFNA(INDEX('RD4 Ohalloran'!$I$2:$I$184,MATCH(Junior7[[#This Row],[Rider]],'RD4 Ohalloran'!$F$2:$F$184,0)),"")</f>
        <v/>
      </c>
      <c r="AT61" s="34" t="str">
        <f>_xlfn.IFNA(INDEX('RD5 Craigburn'!$I$2:$I$168,MATCH(Junior7[[#This Row],[Rider]],'RD5 Craigburn'!$F$2:$F$168,0)),"")</f>
        <v/>
      </c>
      <c r="AU61" s="57" t="str">
        <f>_xlfn.IFNA(INDEX('RD6 Kinchina'!$I$2:$I$199,MATCH(Junior7[[#This Row],[Rider]],'RD6 Kinchina'!$F$2:$F$199,0)),"")</f>
        <v/>
      </c>
      <c r="AV61" s="57" t="str">
        <f>_xlfn.IFNA(INDEX('RD7 O''Hallaron'!$I$2:$I$190,MATCH(Junior7[[#This Row],[Rider]],'RD7 O''Hallaron'!$F$2:$F$201,0)),"")</f>
        <v/>
      </c>
      <c r="AW61" s="57" t="str">
        <f>_xlfn.IFNA(INDEX('RD8 Fox Creek'!$I$2:$I$204,MATCH(Junior7[[#This Row],[Rider]],'RD8 Fox Creek'!$F$2:$F$204,0)),"")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O''Halloran]])</f>
        <v>0</v>
      </c>
      <c r="BB61" s="24">
        <f>2-COUNTBLANK(Junior7[[#This Row],[RD8 XCO Fox Creek]:[RD9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Fox Creek]:[RD9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23-SUM(IF(BC61&gt;$BC$18:$BC$71,1/COUNTIF($BC$18:$BC$71,$BC$18:$BC$71)))</f>
        <v>23</v>
      </c>
    </row>
    <row r="62" spans="1:60" ht="16" x14ac:dyDescent="0.2">
      <c r="A62" s="103" t="s">
        <v>311</v>
      </c>
      <c r="B62" s="38" t="str">
        <f>_xlfn.IFNA(INDEX('RD1 Eagle'!$I$2:$I$154,MATCH(Men_5[[#This Row],[Rider]],'RD1 Eagle'!$F$2:$F$154,0)),"")</f>
        <v/>
      </c>
      <c r="C62" s="38" t="str">
        <f>_xlfn.IFNA(INDEX('RD2 Shepherds'!$I$2:$I$143,MATCH(Men_5[[#This Row],[Rider]],'RD2 Shepherds'!$F$2:$F$143,0)),"")</f>
        <v/>
      </c>
      <c r="D62" s="38" t="str">
        <f>_xlfn.IFNA(INDEX('RD3 XCO Sheps'!$I$2:$I$190,MATCH(Men_5[[#This Row],[Rider]],'RD3 XCO Sheps'!$F$2:$F$190,0)),"")</f>
        <v/>
      </c>
      <c r="E62" s="38">
        <f>_xlfn.IFNA(INDEX('RD4 Ohalloran'!$I$2:$I$180,MATCH(Men_5[[#This Row],[Rider]],'RD4 Ohalloran'!$F$2:$F$180,0)),"")</f>
        <v>225</v>
      </c>
      <c r="F62" s="38">
        <f>_xlfn.IFNA(INDEX('RD5 Craigburn'!$I$2:$I$164,MATCH(Men_5[[#This Row],[Rider]],'RD5 Craigburn'!$F$2:$F$164,0)),"")</f>
        <v>200</v>
      </c>
      <c r="G62" s="38" t="str">
        <f>_xlfn.IFNA(INDEX('RD6 Kinchina'!$I$2:$I$200,MATCH(Men_5[[#This Row],[Rider]],'RD6 Kinchina'!$F$2:$F$200,0)),"")</f>
        <v/>
      </c>
      <c r="H62" s="38" t="str">
        <f>_xlfn.IFNA(INDEX('RD7 O''Hallaron'!$I$2:$I$190,MATCH(Men_5[[#This Row],[Rider]],'RD7 O''Hallaron'!$F$2:$F$201,0)),"")</f>
        <v/>
      </c>
      <c r="I62" s="38" t="str">
        <f>_xlfn.IFNA(INDEX('RD8 Fox Creek'!$I$2:$I$204,MATCH(Men_5[[#This Row],[Rider]],'RD8 Fox Creek'!$F$2:$F$204,0)),"")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2</v>
      </c>
      <c r="L62" s="59">
        <f>3-COUNTBLANK(Men_5[[#This Row],[RD1 XCC Eagle]:[RD3 XCO Sheps]])</f>
        <v>0</v>
      </c>
      <c r="M62" s="59">
        <f>4-COUNTBLANK(Men_5[[#This Row],[RD4 XCO Ohal]:[RD7 XCO O''Halloran]])</f>
        <v>2</v>
      </c>
      <c r="N62" s="59">
        <f>2-COUNTBLANK(Men_5[[#This Row],[RD8 XCO Fox Creek]:[RD9 XCO Willowie]])</f>
        <v>0</v>
      </c>
      <c r="O62" s="59" cm="1">
        <f t="array" ref="O62">IF(Men_5[[#This Row],[Number of Rounds]]&lt;=6,SUM(IF(ISNA(B62:J62),0,B62:J62)),SUM(LARGE(B62:J62,{1,2,3,4,5,6})))</f>
        <v>425</v>
      </c>
      <c r="P62" s="59" cm="1">
        <f t="array" ref="P62">IF(Men_5[[#This Row],[Number of Rounds XCM]]&lt;=3,SUM(IF(ISNA(E62:H62),0,E62:H62)),SUM(LARGE(E62:H62,{1,2,3})))</f>
        <v>425</v>
      </c>
      <c r="Q62" s="59">
        <f>SUM(Men_5[[#This Row],[RD8 XCO Fox Creek]:[RD9 XCO Willowie]])</f>
        <v>0</v>
      </c>
      <c r="R62" s="59">
        <f>Men_5[[#This Row],[Best 6 of 8 Overall]]+Men_5[[#This Row],[Best 3 of 4 XCM]]+Men_5[[#This Row],[Total of 2 XCO]]</f>
        <v>850</v>
      </c>
      <c r="S62" s="134" cm="1">
        <f t="array" ref="S62">68-SUM(IF(O62&gt;$O$18:$O$212,1/COUNTIF($O$18:$O$212,$O$18:$O$212)))</f>
        <v>38.999999999999844</v>
      </c>
      <c r="AO62" s="103"/>
      <c r="AP62" s="34" t="str">
        <f>_xlfn.IFNA(INDEX('RD1 Eagle'!$I$2:$I$154,MATCH(Junior7[[#This Row],[Rider]],'RD1 Eagle'!$F$2:$F$154,0)),"")</f>
        <v/>
      </c>
      <c r="AQ62" s="34" t="str">
        <f>_xlfn.IFNA(INDEX('RD2 Shepherds'!$I$2:$I$143,MATCH(Junior7[[#This Row],[Rider]],'RD2 Shepherds'!$F$2:$F$143,0)),"")</f>
        <v/>
      </c>
      <c r="AR62" s="34" t="str">
        <f>_xlfn.IFNA(INDEX('RD3 XCO Sheps'!$I$2:$I$190,MATCH(Junior7[[#This Row],[Rider]],'RD3 XCO Sheps'!$F$2:$F$190,0)),"")</f>
        <v/>
      </c>
      <c r="AS62" s="34" t="str">
        <f>_xlfn.IFNA(INDEX('RD4 Ohalloran'!$I$2:$I$184,MATCH(Junior7[[#This Row],[Rider]],'RD4 Ohalloran'!$F$2:$F$184,0)),"")</f>
        <v/>
      </c>
      <c r="AT62" s="34" t="str">
        <f>_xlfn.IFNA(INDEX('RD5 Craigburn'!$I$2:$I$168,MATCH(Junior7[[#This Row],[Rider]],'RD5 Craigburn'!$F$2:$F$168,0)),"")</f>
        <v/>
      </c>
      <c r="AU62" s="57" t="str">
        <f>_xlfn.IFNA(INDEX('RD6 Kinchina'!$I$2:$I$199,MATCH(Junior7[[#This Row],[Rider]],'RD6 Kinchina'!$F$2:$F$199,0)),"")</f>
        <v/>
      </c>
      <c r="AV62" s="57" t="str">
        <f>_xlfn.IFNA(INDEX('RD7 O''Hallaron'!$I$2:$I$190,MATCH(Junior7[[#This Row],[Rider]],'RD7 O''Hallaron'!$F$2:$F$201,0)),"")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O''Halloran]])</f>
        <v>0</v>
      </c>
      <c r="BB62" s="24">
        <f>2-COUNTBLANK(Junior7[[#This Row],[RD8 XCO Fox Creek]:[RD9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Fox Creek]:[RD9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23-SUM(IF(BC62&gt;$BC$18:$BC$71,1/COUNTIF($BC$18:$BC$71,$BC$18:$BC$71)))</f>
        <v>23</v>
      </c>
    </row>
    <row r="63" spans="1:60" ht="16" x14ac:dyDescent="0.2">
      <c r="A63" s="103" t="s">
        <v>312</v>
      </c>
      <c r="B63" s="38" t="str">
        <f>_xlfn.IFNA(INDEX('RD1 Eagle'!$I$2:$I$154,MATCH(Men_5[[#This Row],[Rider]],'RD1 Eagle'!$F$2:$F$154,0)),"")</f>
        <v/>
      </c>
      <c r="C63" s="38" t="str">
        <f>_xlfn.IFNA(INDEX('RD2 Shepherds'!$I$2:$I$143,MATCH(Men_5[[#This Row],[Rider]],'RD2 Shepherds'!$F$2:$F$143,0)),"")</f>
        <v/>
      </c>
      <c r="D63" s="38" t="str">
        <f>_xlfn.IFNA(INDEX('RD3 XCO Sheps'!$I$2:$I$190,MATCH(Men_5[[#This Row],[Rider]],'RD3 XCO Sheps'!$F$2:$F$190,0)),"")</f>
        <v/>
      </c>
      <c r="E63" s="38">
        <f>_xlfn.IFNA(INDEX('RD4 Ohalloran'!$I$2:$I$180,MATCH(Men_5[[#This Row],[Rider]],'RD4 Ohalloran'!$F$2:$F$180,0)),"")</f>
        <v>225</v>
      </c>
      <c r="F63" s="38">
        <f>_xlfn.IFNA(INDEX('RD5 Craigburn'!$I$2:$I$164,MATCH(Men_5[[#This Row],[Rider]],'RD5 Craigburn'!$F$2:$F$164,0)),"")</f>
        <v>200</v>
      </c>
      <c r="G63" s="38" t="str">
        <f>_xlfn.IFNA(INDEX('RD6 Kinchina'!$I$2:$I$200,MATCH(Men_5[[#This Row],[Rider]],'RD6 Kinchina'!$F$2:$F$200,0)),"")</f>
        <v/>
      </c>
      <c r="H63" s="38" t="str">
        <f>_xlfn.IFNA(INDEX('RD7 O''Hallaron'!$I$2:$I$190,MATCH(Men_5[[#This Row],[Rider]],'RD7 O''Hallaron'!$F$2:$F$201,0)),"")</f>
        <v/>
      </c>
      <c r="I63" s="38" t="str">
        <f>_xlfn.IFNA(INDEX('RD8 Fox Creek'!$I$2:$I$204,MATCH(Men_5[[#This Row],[Rider]],'RD8 Fox Creek'!$F$2:$F$204,0)),"")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2</v>
      </c>
      <c r="L63" s="59">
        <f>3-COUNTBLANK(Men_5[[#This Row],[RD1 XCC Eagle]:[RD3 XCO Sheps]])</f>
        <v>0</v>
      </c>
      <c r="M63" s="59">
        <f>4-COUNTBLANK(Men_5[[#This Row],[RD4 XCO Ohal]:[RD7 XCO O''Halloran]])</f>
        <v>2</v>
      </c>
      <c r="N63" s="59">
        <f>2-COUNTBLANK(Men_5[[#This Row],[RD8 XCO Fox Creek]:[RD9 XCO Willowie]])</f>
        <v>0</v>
      </c>
      <c r="O63" s="59" cm="1">
        <f t="array" ref="O63">IF(Men_5[[#This Row],[Number of Rounds]]&lt;=6,SUM(IF(ISNA(B63:J63),0,B63:J63)),SUM(LARGE(B63:J63,{1,2,3,4,5,6})))</f>
        <v>425</v>
      </c>
      <c r="P63" s="59" cm="1">
        <f t="array" ref="P63">IF(Men_5[[#This Row],[Number of Rounds XCM]]&lt;=3,SUM(IF(ISNA(E63:H63),0,E63:H63)),SUM(LARGE(E63:H63,{1,2,3})))</f>
        <v>425</v>
      </c>
      <c r="Q63" s="59">
        <f>SUM(Men_5[[#This Row],[RD8 XCO Fox Creek]:[RD9 XCO Willowie]])</f>
        <v>0</v>
      </c>
      <c r="R63" s="59">
        <f>Men_5[[#This Row],[Best 6 of 8 Overall]]+Men_5[[#This Row],[Best 3 of 4 XCM]]+Men_5[[#This Row],[Total of 2 XCO]]</f>
        <v>850</v>
      </c>
      <c r="S63" s="134" cm="1">
        <f t="array" ref="S63">68-SUM(IF(O63&gt;$O$18:$O$212,1/COUNTIF($O$18:$O$212,$O$18:$O$212)))</f>
        <v>38.999999999999844</v>
      </c>
      <c r="AO63" s="103"/>
      <c r="AP63" s="34" t="str">
        <f>_xlfn.IFNA(INDEX('RD1 Eagle'!$I$2:$I$154,MATCH(Junior7[[#This Row],[Rider]],'RD1 Eagle'!$F$2:$F$154,0)),"")</f>
        <v/>
      </c>
      <c r="AQ63" s="34" t="str">
        <f>_xlfn.IFNA(INDEX('RD2 Shepherds'!$I$2:$I$143,MATCH(Junior7[[#This Row],[Rider]],'RD2 Shepherds'!$F$2:$F$143,0)),"")</f>
        <v/>
      </c>
      <c r="AR63" s="34" t="str">
        <f>_xlfn.IFNA(INDEX('RD3 XCO Sheps'!$I$2:$I$190,MATCH(Junior7[[#This Row],[Rider]],'RD3 XCO Sheps'!$F$2:$F$190,0)),"")</f>
        <v/>
      </c>
      <c r="AS63" s="34" t="str">
        <f>_xlfn.IFNA(INDEX('RD4 Ohalloran'!$I$2:$I$184,MATCH(Junior7[[#This Row],[Rider]],'RD4 Ohalloran'!$F$2:$F$184,0)),"")</f>
        <v/>
      </c>
      <c r="AT63" s="34" t="str">
        <f>_xlfn.IFNA(INDEX('RD5 Craigburn'!$I$2:$I$168,MATCH(Junior7[[#This Row],[Rider]],'RD5 Craigburn'!$F$2:$F$168,0)),"")</f>
        <v/>
      </c>
      <c r="AU63" s="57" t="str">
        <f>_xlfn.IFNA(INDEX('RD6 Kinchina'!$I$2:$I$199,MATCH(Junior7[[#This Row],[Rider]],'RD6 Kinchina'!$F$2:$F$199,0)),"")</f>
        <v/>
      </c>
      <c r="AV63" s="57" t="str">
        <f>_xlfn.IFNA(INDEX('RD7 O''Hallaron'!$I$2:$I$190,MATCH(Junior7[[#This Row],[Rider]],'RD7 O''Hallaron'!$F$2:$F$201,0)),"")</f>
        <v/>
      </c>
      <c r="AW63" s="57" t="str">
        <f>_xlfn.IFNA(INDEX('RD8 Fox Creek'!$I$2:$I$204,MATCH(Junior7[[#This Row],[Rider]],'RD8 Fox Creek'!$F$2:$F$204,0)),"")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O''Halloran]])</f>
        <v>0</v>
      </c>
      <c r="BB63" s="24">
        <f>2-COUNTBLANK(Junior7[[#This Row],[RD8 XCO Fox Creek]:[RD9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Fox Creek]:[RD9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23-SUM(IF(BC63&gt;$BC$18:$BC$71,1/COUNTIF($BC$18:$BC$71,$BC$18:$BC$71)))</f>
        <v>23</v>
      </c>
    </row>
    <row r="64" spans="1:60" ht="16" x14ac:dyDescent="0.2">
      <c r="A64" s="103" t="s">
        <v>239</v>
      </c>
      <c r="B64" s="38" t="str">
        <f>_xlfn.IFNA(INDEX('RD1 Eagle'!$I$2:$I$154,MATCH(Men_5[[#This Row],[Rider]],'RD1 Eagle'!$F$2:$F$154,0)),"")</f>
        <v/>
      </c>
      <c r="C64" s="38">
        <f>_xlfn.IFNA(INDEX('RD2 Shepherds'!$I$2:$I$143,MATCH(Men_5[[#This Row],[Rider]],'RD2 Shepherds'!$F$2:$F$143,0)),"")</f>
        <v>196</v>
      </c>
      <c r="D64" s="38" t="str">
        <f>_xlfn.IFNA(INDEX('RD3 XCO Sheps'!$I$2:$I$190,MATCH(Men_5[[#This Row],[Rider]],'RD3 XCO Sheps'!$F$2:$F$190,0)),"")</f>
        <v/>
      </c>
      <c r="E64" s="38" t="str">
        <f>_xlfn.IFNA(INDEX('RD4 Ohalloran'!$I$2:$I$180,MATCH(Men_5[[#This Row],[Rider]],'RD4 Ohalloran'!$F$2:$F$180,0)),"")</f>
        <v/>
      </c>
      <c r="F64" s="38">
        <f>_xlfn.IFNA(INDEX('RD5 Craigburn'!$I$2:$I$164,MATCH(Men_5[[#This Row],[Rider]],'RD5 Craigburn'!$F$2:$F$164,0)),"")</f>
        <v>225</v>
      </c>
      <c r="G64" s="38" t="str">
        <f>_xlfn.IFNA(INDEX('RD6 Kinchina'!$I$2:$I$200,MATCH(Men_5[[#This Row],[Rider]],'RD6 Kinchina'!$F$2:$F$200,0)),"")</f>
        <v/>
      </c>
      <c r="H64" s="38" t="str">
        <f>_xlfn.IFNA(INDEX('RD7 O''Hallaron'!$I$2:$I$190,MATCH(Men_5[[#This Row],[Rider]],'RD7 O''Hallaron'!$F$2:$F$201,0)),"")</f>
        <v/>
      </c>
      <c r="I64" s="38" t="str">
        <f>_xlfn.IFNA(INDEX('RD8 Fox Creek'!$I$2:$I$204,MATCH(Men_5[[#This Row],[Rider]],'RD8 Fox Creek'!$F$2:$F$204,0)),"")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2</v>
      </c>
      <c r="L64" s="59">
        <f>3-COUNTBLANK(Men_5[[#This Row],[RD1 XCC Eagle]:[RD3 XCO Sheps]])</f>
        <v>1</v>
      </c>
      <c r="M64" s="59">
        <f>4-COUNTBLANK(Men_5[[#This Row],[RD4 XCO Ohal]:[RD7 XCO O''Halloran]])</f>
        <v>1</v>
      </c>
      <c r="N64" s="59">
        <f>2-COUNTBLANK(Men_5[[#This Row],[RD8 XCO Fox Creek]:[RD9 XCO Willowie]])</f>
        <v>0</v>
      </c>
      <c r="O64" s="59" cm="1">
        <f t="array" ref="O64">IF(Men_5[[#This Row],[Number of Rounds]]&lt;=6,SUM(IF(ISNA(B64:J64),0,B64:J64)),SUM(LARGE(B64:J64,{1,2,3,4,5,6})))</f>
        <v>421</v>
      </c>
      <c r="P64" s="59" cm="1">
        <f t="array" ref="P64">IF(Men_5[[#This Row],[Number of Rounds XCM]]&lt;=3,SUM(IF(ISNA(E64:H64),0,E64:H64)),SUM(LARGE(E64:H64,{1,2,3})))</f>
        <v>225</v>
      </c>
      <c r="Q64" s="59">
        <f>SUM(Men_5[[#This Row],[RD8 XCO Fox Creek]:[RD9 XCO Willowie]])</f>
        <v>0</v>
      </c>
      <c r="R64" s="59">
        <f>Men_5[[#This Row],[Best 6 of 8 Overall]]+Men_5[[#This Row],[Best 3 of 4 XCM]]+Men_5[[#This Row],[Total of 2 XCO]]</f>
        <v>646</v>
      </c>
      <c r="S64" s="134" cm="1">
        <f t="array" ref="S64">68-SUM(IF(O64&gt;$O$18:$O$212,1/COUNTIF($O$18:$O$212,$O$18:$O$212)))</f>
        <v>39.999999999999844</v>
      </c>
      <c r="AO64" s="103"/>
      <c r="AP64" s="34" t="str">
        <f>_xlfn.IFNA(INDEX('RD1 Eagle'!$I$2:$I$154,MATCH(Junior7[[#This Row],[Rider]],'RD1 Eagle'!$F$2:$F$154,0)),"")</f>
        <v/>
      </c>
      <c r="AQ64" s="34" t="str">
        <f>_xlfn.IFNA(INDEX('RD2 Shepherds'!$I$2:$I$143,MATCH(Junior7[[#This Row],[Rider]],'RD2 Shepherds'!$F$2:$F$143,0)),"")</f>
        <v/>
      </c>
      <c r="AR64" s="34" t="str">
        <f>_xlfn.IFNA(INDEX('RD3 XCO Sheps'!$I$2:$I$190,MATCH(Junior7[[#This Row],[Rider]],'RD3 XCO Sheps'!$F$2:$F$190,0)),"")</f>
        <v/>
      </c>
      <c r="AS64" s="34" t="str">
        <f>_xlfn.IFNA(INDEX('RD4 Ohalloran'!$I$2:$I$184,MATCH(Junior7[[#This Row],[Rider]],'RD4 Ohalloran'!$F$2:$F$184,0)),"")</f>
        <v/>
      </c>
      <c r="AT64" s="34" t="str">
        <f>_xlfn.IFNA(INDEX('RD5 Craigburn'!$I$2:$I$168,MATCH(Junior7[[#This Row],[Rider]],'RD5 Craigburn'!$F$2:$F$168,0)),"")</f>
        <v/>
      </c>
      <c r="AU64" s="57" t="str">
        <f>_xlfn.IFNA(INDEX('RD6 Kinchina'!$I$2:$I$199,MATCH(Junior7[[#This Row],[Rider]],'RD6 Kinchina'!$F$2:$F$199,0)),"")</f>
        <v/>
      </c>
      <c r="AV64" s="57" t="str">
        <f>_xlfn.IFNA(INDEX('RD7 O''Hallaron'!$I$2:$I$190,MATCH(Junior7[[#This Row],[Rider]],'RD7 O''Hallaron'!$F$2:$F$201,0)),"")</f>
        <v/>
      </c>
      <c r="AW64" s="57" t="str">
        <f>_xlfn.IFNA(INDEX('RD8 Fox Creek'!$I$2:$I$204,MATCH(Junior7[[#This Row],[Rider]],'RD8 Fox Creek'!$F$2:$F$204,0)),"")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O''Halloran]])</f>
        <v>0</v>
      </c>
      <c r="BB64" s="24">
        <f>2-COUNTBLANK(Junior7[[#This Row],[RD8 XCO Fox Creek]:[RD9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Fox Creek]:[RD9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23-SUM(IF(BC64&gt;$BC$18:$BC$71,1/COUNTIF($BC$18:$BC$71,$BC$18:$BC$71)))</f>
        <v>23</v>
      </c>
    </row>
    <row r="65" spans="1:59" ht="16" x14ac:dyDescent="0.2">
      <c r="A65" s="103" t="s">
        <v>268</v>
      </c>
      <c r="B65" s="38" t="str">
        <f>_xlfn.IFNA(INDEX('RD1 Eagle'!$I$2:$I$154,MATCH(Men_5[[#This Row],[Rider]],'RD1 Eagle'!$F$2:$F$154,0)),"")</f>
        <v/>
      </c>
      <c r="C65" s="38" t="str">
        <f>_xlfn.IFNA(INDEX('RD2 Shepherds'!$I$2:$I$143,MATCH(Men_5[[#This Row],[Rider]],'RD2 Shepherds'!$F$2:$F$143,0)),"")</f>
        <v/>
      </c>
      <c r="D65" s="38" t="str">
        <f>_xlfn.IFNA(INDEX('RD3 XCO Sheps'!$I$2:$I$190,MATCH(Men_5[[#This Row],[Rider]],'RD3 XCO Sheps'!$F$2:$F$190,0)),"")</f>
        <v/>
      </c>
      <c r="E65" s="38">
        <f>_xlfn.IFNA(INDEX('RD4 Ohalloran'!$I$2:$I$180,MATCH(Men_5[[#This Row],[Rider]],'RD4 Ohalloran'!$F$2:$F$180,0)),"")</f>
        <v>420</v>
      </c>
      <c r="F65" s="38" t="str">
        <f>_xlfn.IFNA(INDEX('RD5 Craigburn'!$I$2:$I$164,MATCH(Men_5[[#This Row],[Rider]],'RD5 Craigburn'!$F$2:$F$164,0)),"")</f>
        <v/>
      </c>
      <c r="G65" s="38" t="str">
        <f>_xlfn.IFNA(INDEX('RD6 Kinchina'!$I$2:$I$200,MATCH(Men_5[[#This Row],[Rider]],'RD6 Kinchina'!$F$2:$F$200,0)),"")</f>
        <v/>
      </c>
      <c r="H65" s="38" t="str">
        <f>_xlfn.IFNA(INDEX('RD7 O''Hallaron'!$I$2:$I$190,MATCH(Men_5[[#This Row],[Rider]],'RD7 O''Hallaron'!$F$2:$F$201,0)),"")</f>
        <v/>
      </c>
      <c r="I65" s="38" t="str">
        <f>_xlfn.IFNA(INDEX('RD8 Fox Creek'!$I$2:$I$204,MATCH(Men_5[[#This Row],[Rider]],'RD8 Fox Creek'!$F$2:$F$204,0)),"")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1</v>
      </c>
      <c r="L65" s="59">
        <f>3-COUNTBLANK(Men_5[[#This Row],[RD1 XCC Eagle]:[RD3 XCO Sheps]])</f>
        <v>0</v>
      </c>
      <c r="M65" s="59">
        <f>4-COUNTBLANK(Men_5[[#This Row],[RD4 XCO Ohal]:[RD7 XCO O''Halloran]])</f>
        <v>1</v>
      </c>
      <c r="N65" s="59">
        <f>2-COUNTBLANK(Men_5[[#This Row],[RD8 XCO Fox Creek]:[RD9 XCO Willowie]])</f>
        <v>0</v>
      </c>
      <c r="O65" s="59" cm="1">
        <f t="array" ref="O65">IF(Men_5[[#This Row],[Number of Rounds]]&lt;=6,SUM(IF(ISNA(B65:J65),0,B65:J65)),SUM(LARGE(B65:J65,{1,2,3,4,5,6})))</f>
        <v>420</v>
      </c>
      <c r="P65" s="59" cm="1">
        <f t="array" ref="P65">IF(Men_5[[#This Row],[Number of Rounds XCM]]&lt;=3,SUM(IF(ISNA(E65:H65),0,E65:H65)),SUM(LARGE(E65:H65,{1,2,3})))</f>
        <v>420</v>
      </c>
      <c r="Q65" s="59">
        <f>SUM(Men_5[[#This Row],[RD8 XCO Fox Creek]:[RD9 XCO Willowie]])</f>
        <v>0</v>
      </c>
      <c r="R65" s="59">
        <f>Men_5[[#This Row],[Best 6 of 8 Overall]]+Men_5[[#This Row],[Best 3 of 4 XCM]]+Men_5[[#This Row],[Total of 2 XCO]]</f>
        <v>840</v>
      </c>
      <c r="S65" s="134" cm="1">
        <f t="array" ref="S65">68-SUM(IF(O65&gt;$O$18:$O$212,1/COUNTIF($O$18:$O$212,$O$18:$O$212)))</f>
        <v>40.999999999999844</v>
      </c>
      <c r="AO65" s="103"/>
      <c r="AP65" s="34" t="str">
        <f>_xlfn.IFNA(INDEX('RD1 Eagle'!$I$2:$I$154,MATCH(Junior7[[#This Row],[Rider]],'RD1 Eagle'!$F$2:$F$154,0)),"")</f>
        <v/>
      </c>
      <c r="AQ65" s="34" t="str">
        <f>_xlfn.IFNA(INDEX('RD2 Shepherds'!$I$2:$I$143,MATCH(Junior7[[#This Row],[Rider]],'RD2 Shepherds'!$F$2:$F$143,0)),"")</f>
        <v/>
      </c>
      <c r="AR65" s="34" t="str">
        <f>_xlfn.IFNA(INDEX('RD3 XCO Sheps'!$I$2:$I$190,MATCH(Junior7[[#This Row],[Rider]],'RD3 XCO Sheps'!$F$2:$F$190,0)),"")</f>
        <v/>
      </c>
      <c r="AS65" s="34" t="str">
        <f>_xlfn.IFNA(INDEX('RD4 Ohalloran'!$I$2:$I$184,MATCH(Junior7[[#This Row],[Rider]],'RD4 Ohalloran'!$F$2:$F$184,0)),"")</f>
        <v/>
      </c>
      <c r="AT65" s="34" t="str">
        <f>_xlfn.IFNA(INDEX('RD5 Craigburn'!$I$2:$I$168,MATCH(Junior7[[#This Row],[Rider]],'RD5 Craigburn'!$F$2:$F$168,0)),"")</f>
        <v/>
      </c>
      <c r="AU65" s="57" t="str">
        <f>_xlfn.IFNA(INDEX('RD6 Kinchina'!$I$2:$I$199,MATCH(Junior7[[#This Row],[Rider]],'RD6 Kinchina'!$F$2:$F$199,0)),"")</f>
        <v/>
      </c>
      <c r="AV65" s="57" t="str">
        <f>_xlfn.IFNA(INDEX('RD7 O''Hallaron'!$I$2:$I$190,MATCH(Junior7[[#This Row],[Rider]],'RD7 O''Hallaron'!$F$2:$F$201,0)),"")</f>
        <v/>
      </c>
      <c r="AW65" s="57" t="str">
        <f>_xlfn.IFNA(INDEX('RD8 Fox Creek'!$I$2:$I$204,MATCH(Junior7[[#This Row],[Rider]],'RD8 Fox Creek'!$F$2:$F$204,0)),"")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O''Halloran]])</f>
        <v>0</v>
      </c>
      <c r="BB65" s="24">
        <f>2-COUNTBLANK(Junior7[[#This Row],[RD8 XCO Fox Creek]:[RD9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Fox Creek]:[RD9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23-SUM(IF(BC65&gt;$BC$18:$BC$71,1/COUNTIF($BC$18:$BC$71,$BC$18:$BC$71)))</f>
        <v>23</v>
      </c>
    </row>
    <row r="66" spans="1:59" ht="16" x14ac:dyDescent="0.2">
      <c r="A66" s="103" t="s">
        <v>291</v>
      </c>
      <c r="B66" s="38" t="str">
        <f>_xlfn.IFNA(INDEX('RD1 Eagle'!$I$2:$I$154,MATCH(Men_5[[#This Row],[Rider]],'RD1 Eagle'!$F$2:$F$154,0)),"")</f>
        <v/>
      </c>
      <c r="C66" s="38" t="str">
        <f>_xlfn.IFNA(INDEX('RD2 Shepherds'!$I$2:$I$143,MATCH(Men_5[[#This Row],[Rider]],'RD2 Shepherds'!$F$2:$F$143,0)),"")</f>
        <v/>
      </c>
      <c r="D66" s="38" t="str">
        <f>_xlfn.IFNA(INDEX('RD3 XCO Sheps'!$I$2:$I$190,MATCH(Men_5[[#This Row],[Rider]],'RD3 XCO Sheps'!$F$2:$F$190,0)),"")</f>
        <v/>
      </c>
      <c r="E66" s="38" t="str">
        <f>_xlfn.IFNA(INDEX('RD4 Ohalloran'!$I$2:$I$180,MATCH(Men_5[[#This Row],[Rider]],'RD4 Ohalloran'!$F$2:$F$180,0)),"")</f>
        <v/>
      </c>
      <c r="F66" s="38">
        <f>_xlfn.IFNA(INDEX('RD5 Craigburn'!$I$2:$I$164,MATCH(Men_5[[#This Row],[Rider]],'RD5 Craigburn'!$F$2:$F$164,0)),"")</f>
        <v>380</v>
      </c>
      <c r="G66" s="38" t="str">
        <f>_xlfn.IFNA(INDEX('RD6 Kinchina'!$I$2:$I$200,MATCH(Men_5[[#This Row],[Rider]],'RD6 Kinchina'!$F$2:$F$200,0)),"")</f>
        <v/>
      </c>
      <c r="H66" s="38" t="str">
        <f>_xlfn.IFNA(INDEX('RD7 O''Hallaron'!$I$2:$I$190,MATCH(Men_5[[#This Row],[Rider]],'RD7 O''Hallaron'!$F$2:$F$201,0)),"")</f>
        <v/>
      </c>
      <c r="I66" s="38" t="str">
        <f>_xlfn.IFNA(INDEX('RD8 Fox Creek'!$I$2:$I$204,MATCH(Men_5[[#This Row],[Rider]],'RD8 Fox Creek'!$F$2:$F$204,0)),"")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1</v>
      </c>
      <c r="L66" s="59">
        <f>3-COUNTBLANK(Men_5[[#This Row],[RD1 XCC Eagle]:[RD3 XCO Sheps]])</f>
        <v>0</v>
      </c>
      <c r="M66" s="59">
        <f>4-COUNTBLANK(Men_5[[#This Row],[RD4 XCO Ohal]:[RD7 XCO O''Halloran]])</f>
        <v>1</v>
      </c>
      <c r="N66" s="59">
        <f>2-COUNTBLANK(Men_5[[#This Row],[RD8 XCO Fox Creek]:[RD9 XCO Willowie]])</f>
        <v>0</v>
      </c>
      <c r="O66" s="59" cm="1">
        <f t="array" ref="O66">IF(Men_5[[#This Row],[Number of Rounds]]&lt;=6,SUM(IF(ISNA(B66:J66),0,B66:J66)),SUM(LARGE(B66:J66,{1,2,3,4,5,6})))</f>
        <v>380</v>
      </c>
      <c r="P66" s="59" cm="1">
        <f t="array" ref="P66">IF(Men_5[[#This Row],[Number of Rounds XCM]]&lt;=3,SUM(IF(ISNA(E66:H66),0,E66:H66)),SUM(LARGE(E66:H66,{1,2,3})))</f>
        <v>380</v>
      </c>
      <c r="Q66" s="59">
        <f>SUM(Men_5[[#This Row],[RD8 XCO Fox Creek]:[RD9 XCO Willowie]])</f>
        <v>0</v>
      </c>
      <c r="R66" s="59">
        <f>Men_5[[#This Row],[Best 6 of 8 Overall]]+Men_5[[#This Row],[Best 3 of 4 XCM]]+Men_5[[#This Row],[Total of 2 XCO]]</f>
        <v>760</v>
      </c>
      <c r="S66" s="134" cm="1">
        <f t="array" ref="S66">68-SUM(IF(O66&gt;$O$18:$O$212,1/COUNTIF($O$18:$O$212,$O$18:$O$212)))</f>
        <v>41.999999999999844</v>
      </c>
      <c r="AO66" s="103"/>
      <c r="AP66" s="34" t="str">
        <f>_xlfn.IFNA(INDEX('RD1 Eagle'!$I$2:$I$154,MATCH(Junior7[[#This Row],[Rider]],'RD1 Eagle'!$F$2:$F$154,0)),"")</f>
        <v/>
      </c>
      <c r="AQ66" s="34" t="str">
        <f>_xlfn.IFNA(INDEX('RD2 Shepherds'!$I$2:$I$143,MATCH(Junior7[[#This Row],[Rider]],'RD2 Shepherds'!$F$2:$F$143,0)),"")</f>
        <v/>
      </c>
      <c r="AR66" s="34" t="str">
        <f>_xlfn.IFNA(INDEX('RD3 XCO Sheps'!$I$2:$I$190,MATCH(Junior7[[#This Row],[Rider]],'RD3 XCO Sheps'!$F$2:$F$190,0)),"")</f>
        <v/>
      </c>
      <c r="AS66" s="34" t="str">
        <f>_xlfn.IFNA(INDEX('RD4 Ohalloran'!$I$2:$I$184,MATCH(Junior7[[#This Row],[Rider]],'RD4 Ohalloran'!$F$2:$F$184,0)),"")</f>
        <v/>
      </c>
      <c r="AT66" s="34" t="str">
        <f>_xlfn.IFNA(INDEX('RD5 Craigburn'!$I$2:$I$168,MATCH(Junior7[[#This Row],[Rider]],'RD5 Craigburn'!$F$2:$F$168,0)),"")</f>
        <v/>
      </c>
      <c r="AU66" s="57" t="str">
        <f>_xlfn.IFNA(INDEX('RD6 Kinchina'!$I$2:$I$199,MATCH(Junior7[[#This Row],[Rider]],'RD6 Kinchina'!$F$2:$F$199,0)),"")</f>
        <v/>
      </c>
      <c r="AV66" s="57" t="str">
        <f>_xlfn.IFNA(INDEX('RD7 O''Hallaron'!$I$2:$I$190,MATCH(Junior7[[#This Row],[Rider]],'RD7 O''Hallaron'!$F$2:$F$201,0)),"")</f>
        <v/>
      </c>
      <c r="AW66" s="57" t="str">
        <f>_xlfn.IFNA(INDEX('RD8 Fox Creek'!$I$2:$I$204,MATCH(Junior7[[#This Row],[Rider]],'RD8 Fox Creek'!$F$2:$F$204,0)),"")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O''Halloran]])</f>
        <v>0</v>
      </c>
      <c r="BB66" s="24">
        <f>2-COUNTBLANK(Junior7[[#This Row],[RD8 XCO Fox Creek]:[RD9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Fox Creek]:[RD9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23-SUM(IF(BC66&gt;$BC$18:$BC$71,1/COUNTIF($BC$18:$BC$71,$BC$18:$BC$71)))</f>
        <v>23</v>
      </c>
    </row>
    <row r="67" spans="1:59" ht="16" x14ac:dyDescent="0.2">
      <c r="A67" s="103" t="s">
        <v>292</v>
      </c>
      <c r="B67" s="38" t="str">
        <f>_xlfn.IFNA(INDEX('RD1 Eagle'!$I$2:$I$154,MATCH(Men_5[[#This Row],[Rider]],'RD1 Eagle'!$F$2:$F$154,0)),"")</f>
        <v/>
      </c>
      <c r="C67" s="38" t="str">
        <f>_xlfn.IFNA(INDEX('RD2 Shepherds'!$I$2:$I$143,MATCH(Men_5[[#This Row],[Rider]],'RD2 Shepherds'!$F$2:$F$143,0)),"")</f>
        <v/>
      </c>
      <c r="D67" s="38" t="str">
        <f>_xlfn.IFNA(INDEX('RD3 XCO Sheps'!$I$2:$I$190,MATCH(Men_5[[#This Row],[Rider]],'RD3 XCO Sheps'!$F$2:$F$190,0)),"")</f>
        <v/>
      </c>
      <c r="E67" s="38" t="str">
        <f>_xlfn.IFNA(INDEX('RD4 Ohalloran'!$I$2:$I$180,MATCH(Men_5[[#This Row],[Rider]],'RD4 Ohalloran'!$F$2:$F$180,0)),"")</f>
        <v/>
      </c>
      <c r="F67" s="38">
        <f>_xlfn.IFNA(INDEX('RD5 Craigburn'!$I$2:$I$164,MATCH(Men_5[[#This Row],[Rider]],'RD5 Craigburn'!$F$2:$F$164,0)),"")</f>
        <v>375</v>
      </c>
      <c r="G67" s="38" t="str">
        <f>_xlfn.IFNA(INDEX('RD6 Kinchina'!$I$2:$I$200,MATCH(Men_5[[#This Row],[Rider]],'RD6 Kinchina'!$F$2:$F$200,0)),"")</f>
        <v/>
      </c>
      <c r="H67" s="38" t="str">
        <f>_xlfn.IFNA(INDEX('RD7 O''Hallaron'!$I$2:$I$190,MATCH(Men_5[[#This Row],[Rider]],'RD7 O''Hallaron'!$F$2:$F$201,0)),"")</f>
        <v/>
      </c>
      <c r="I67" s="38" t="str">
        <f>_xlfn.IFNA(INDEX('RD8 Fox Creek'!$I$2:$I$204,MATCH(Men_5[[#This Row],[Rider]],'RD8 Fox Creek'!$F$2:$F$204,0)),"")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1</v>
      </c>
      <c r="L67" s="59">
        <f>3-COUNTBLANK(Men_5[[#This Row],[RD1 XCC Eagle]:[RD3 XCO Sheps]])</f>
        <v>0</v>
      </c>
      <c r="M67" s="59">
        <f>4-COUNTBLANK(Men_5[[#This Row],[RD4 XCO Ohal]:[RD7 XCO O''Halloran]])</f>
        <v>1</v>
      </c>
      <c r="N67" s="59">
        <f>2-COUNTBLANK(Men_5[[#This Row],[RD8 XCO Fox Creek]:[RD9 XCO Willowie]])</f>
        <v>0</v>
      </c>
      <c r="O67" s="59" cm="1">
        <f t="array" ref="O67">IF(Men_5[[#This Row],[Number of Rounds]]&lt;=6,SUM(IF(ISNA(B67:J67),0,B67:J67)),SUM(LARGE(B67:J67,{1,2,3,4,5,6})))</f>
        <v>375</v>
      </c>
      <c r="P67" s="59" cm="1">
        <f t="array" ref="P67">IF(Men_5[[#This Row],[Number of Rounds XCM]]&lt;=3,SUM(IF(ISNA(E67:H67),0,E67:H67)),SUM(LARGE(E67:H67,{1,2,3})))</f>
        <v>375</v>
      </c>
      <c r="Q67" s="59">
        <f>SUM(Men_5[[#This Row],[RD8 XCO Fox Creek]:[RD9 XCO Willowie]])</f>
        <v>0</v>
      </c>
      <c r="R67" s="59">
        <f>Men_5[[#This Row],[Best 6 of 8 Overall]]+Men_5[[#This Row],[Best 3 of 4 XCM]]+Men_5[[#This Row],[Total of 2 XCO]]</f>
        <v>750</v>
      </c>
      <c r="S67" s="134" cm="1">
        <f t="array" ref="S67">68-SUM(IF(O67&gt;$O$18:$O$212,1/COUNTIF($O$18:$O$212,$O$18:$O$212)))</f>
        <v>42.999999999999844</v>
      </c>
      <c r="AO67" s="103"/>
      <c r="AP67" s="34" t="str">
        <f>_xlfn.IFNA(INDEX('RD1 Eagle'!$I$2:$I$154,MATCH(Junior7[[#This Row],[Rider]],'RD1 Eagle'!$F$2:$F$154,0)),"")</f>
        <v/>
      </c>
      <c r="AQ67" s="34" t="str">
        <f>_xlfn.IFNA(INDEX('RD2 Shepherds'!$I$2:$I$143,MATCH(Junior7[[#This Row],[Rider]],'RD2 Shepherds'!$F$2:$F$143,0)),"")</f>
        <v/>
      </c>
      <c r="AR67" s="34" t="str">
        <f>_xlfn.IFNA(INDEX('RD3 XCO Sheps'!$I$2:$I$190,MATCH(Junior7[[#This Row],[Rider]],'RD3 XCO Sheps'!$F$2:$F$190,0)),"")</f>
        <v/>
      </c>
      <c r="AS67" s="34" t="str">
        <f>_xlfn.IFNA(INDEX('RD4 Ohalloran'!$I$2:$I$184,MATCH(Junior7[[#This Row],[Rider]],'RD4 Ohalloran'!$F$2:$F$184,0)),"")</f>
        <v/>
      </c>
      <c r="AT67" s="34" t="str">
        <f>_xlfn.IFNA(INDEX('RD5 Craigburn'!$I$2:$I$168,MATCH(Junior7[[#This Row],[Rider]],'RD5 Craigburn'!$F$2:$F$168,0)),"")</f>
        <v/>
      </c>
      <c r="AU67" s="57" t="str">
        <f>_xlfn.IFNA(INDEX('RD6 Kinchina'!$I$2:$I$199,MATCH(Junior7[[#This Row],[Rider]],'RD6 Kinchina'!$F$2:$F$199,0)),"")</f>
        <v/>
      </c>
      <c r="AV67" s="57" t="str">
        <f>_xlfn.IFNA(INDEX('RD7 O''Hallaron'!$I$2:$I$190,MATCH(Junior7[[#This Row],[Rider]],'RD7 O''Hallaron'!$F$2:$F$201,0)),"")</f>
        <v/>
      </c>
      <c r="AW67" s="57" t="str">
        <f>_xlfn.IFNA(INDEX('RD8 Fox Creek'!$I$2:$I$204,MATCH(Junior7[[#This Row],[Rider]],'RD8 Fox Creek'!$F$2:$F$204,0)),"")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O''Halloran]])</f>
        <v>0</v>
      </c>
      <c r="BB67" s="24">
        <f>2-COUNTBLANK(Junior7[[#This Row],[RD8 XCO Fox Creek]:[RD9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Fox Creek]:[RD9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23-SUM(IF(BC67&gt;$BC$18:$BC$71,1/COUNTIF($BC$18:$BC$71,$BC$18:$BC$71)))</f>
        <v>23</v>
      </c>
    </row>
    <row r="68" spans="1:59" ht="16" x14ac:dyDescent="0.2">
      <c r="A68" s="103" t="s">
        <v>228</v>
      </c>
      <c r="B68" s="38" t="str">
        <f>_xlfn.IFNA(INDEX('RD1 Eagle'!$I$2:$I$154,MATCH(Men_5[[#This Row],[Rider]],'RD1 Eagle'!$F$2:$F$154,0)),"")</f>
        <v/>
      </c>
      <c r="C68" s="38">
        <f>_xlfn.IFNA(INDEX('RD2 Shepherds'!$I$2:$I$143,MATCH(Men_5[[#This Row],[Rider]],'RD2 Shepherds'!$F$2:$F$143,0)),"")</f>
        <v>350</v>
      </c>
      <c r="D68" s="38" t="str">
        <f>_xlfn.IFNA(INDEX('RD3 XCO Sheps'!$I$2:$I$190,MATCH(Men_5[[#This Row],[Rider]],'RD3 XCO Sheps'!$F$2:$F$190,0)),"")</f>
        <v/>
      </c>
      <c r="E68" s="38" t="str">
        <f>_xlfn.IFNA(INDEX('RD4 Ohalloran'!$I$2:$I$180,MATCH(Men_5[[#This Row],[Rider]],'RD4 Ohalloran'!$F$2:$F$180,0)),"")</f>
        <v/>
      </c>
      <c r="F68" s="38" t="str">
        <f>_xlfn.IFNA(INDEX('RD5 Craigburn'!$I$2:$I$164,MATCH(Men_5[[#This Row],[Rider]],'RD5 Craigburn'!$F$2:$F$164,0)),"")</f>
        <v/>
      </c>
      <c r="G68" s="38" t="str">
        <f>_xlfn.IFNA(INDEX('RD6 Kinchina'!$I$2:$I$200,MATCH(Men_5[[#This Row],[Rider]],'RD6 Kinchina'!$F$2:$F$200,0)),"")</f>
        <v/>
      </c>
      <c r="H68" s="38" t="str">
        <f>_xlfn.IFNA(INDEX('RD7 O''Hallaron'!$I$2:$I$190,MATCH(Men_5[[#This Row],[Rider]],'RD7 O''Hallaron'!$F$2:$F$201,0)),"")</f>
        <v/>
      </c>
      <c r="I68" s="38" t="str">
        <f>_xlfn.IFNA(INDEX('RD8 Fox Creek'!$I$2:$I$204,MATCH(Men_5[[#This Row],[Rider]],'RD8 Fox Creek'!$F$2:$F$204,0)),"")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1</v>
      </c>
      <c r="L68" s="59">
        <f>3-COUNTBLANK(Men_5[[#This Row],[RD1 XCC Eagle]:[RD3 XCO Sheps]])</f>
        <v>1</v>
      </c>
      <c r="M68" s="59">
        <f>4-COUNTBLANK(Men_5[[#This Row],[RD4 XCO Ohal]:[RD7 XCO O''Halloran]])</f>
        <v>0</v>
      </c>
      <c r="N68" s="59">
        <f>2-COUNTBLANK(Men_5[[#This Row],[RD8 XCO Fox Creek]:[RD9 XCO Willowie]])</f>
        <v>0</v>
      </c>
      <c r="O68" s="59" cm="1">
        <f t="array" ref="O68">IF(Men_5[[#This Row],[Number of Rounds]]&lt;=6,SUM(IF(ISNA(B68:J68),0,B68:J68)),SUM(LARGE(B68:J68,{1,2,3,4,5,6})))</f>
        <v>350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Fox Creek]:[RD9 XCO Willowie]])</f>
        <v>0</v>
      </c>
      <c r="R68" s="59">
        <f>Men_5[[#This Row],[Best 6 of 8 Overall]]+Men_5[[#This Row],[Best 3 of 4 XCM]]+Men_5[[#This Row],[Total of 2 XCO]]</f>
        <v>350</v>
      </c>
      <c r="S68" s="134" cm="1">
        <f t="array" ref="S68">68-SUM(IF(O68&gt;$O$18:$O$212,1/COUNTIF($O$18:$O$212,$O$18:$O$212)))</f>
        <v>43.999999999999837</v>
      </c>
      <c r="AO68" s="103"/>
      <c r="AP68" s="34" t="str">
        <f>_xlfn.IFNA(INDEX('RD1 Eagle'!$I$2:$I$154,MATCH(Junior7[[#This Row],[Rider]],'RD1 Eagle'!$F$2:$F$154,0)),"")</f>
        <v/>
      </c>
      <c r="AQ68" s="34" t="str">
        <f>_xlfn.IFNA(INDEX('RD2 Shepherds'!$I$2:$I$143,MATCH(Junior7[[#This Row],[Rider]],'RD2 Shepherds'!$F$2:$F$143,0)),"")</f>
        <v/>
      </c>
      <c r="AR68" s="34" t="str">
        <f>_xlfn.IFNA(INDEX('RD3 XCO Sheps'!$I$2:$I$190,MATCH(Junior7[[#This Row],[Rider]],'RD3 XCO Sheps'!$F$2:$F$190,0)),"")</f>
        <v/>
      </c>
      <c r="AS68" s="34" t="str">
        <f>_xlfn.IFNA(INDEX('RD4 Ohalloran'!$I$2:$I$184,MATCH(Junior7[[#This Row],[Rider]],'RD4 Ohalloran'!$F$2:$F$184,0)),"")</f>
        <v/>
      </c>
      <c r="AT68" s="34" t="str">
        <f>_xlfn.IFNA(INDEX('RD5 Craigburn'!$I$2:$I$168,MATCH(Junior7[[#This Row],[Rider]],'RD5 Craigburn'!$F$2:$F$168,0)),"")</f>
        <v/>
      </c>
      <c r="AU68" s="57" t="str">
        <f>_xlfn.IFNA(INDEX('RD6 Kinchina'!$I$2:$I$199,MATCH(Junior7[[#This Row],[Rider]],'RD6 Kinchina'!$F$2:$F$199,0)),"")</f>
        <v/>
      </c>
      <c r="AV68" s="57" t="str">
        <f>_xlfn.IFNA(INDEX('RD7 O''Hallaron'!$I$2:$I$190,MATCH(Junior7[[#This Row],[Rider]],'RD7 O''Hallaron'!$F$2:$F$201,0)),"")</f>
        <v/>
      </c>
      <c r="AW68" s="57" t="str">
        <f>_xlfn.IFNA(INDEX('RD8 Fox Creek'!$I$2:$I$204,MATCH(Junior7[[#This Row],[Rider]],'RD8 Fox Creek'!$F$2:$F$204,0)),"")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O''Halloran]])</f>
        <v>0</v>
      </c>
      <c r="BB68" s="24">
        <f>2-COUNTBLANK(Junior7[[#This Row],[RD8 XCO Fox Creek]:[RD9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Fox Creek]:[RD9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23-SUM(IF(BC68&gt;$BC$18:$BC$71,1/COUNTIF($BC$18:$BC$71,$BC$18:$BC$71)))</f>
        <v>23</v>
      </c>
    </row>
    <row r="69" spans="1:59" ht="16" x14ac:dyDescent="0.2">
      <c r="A69" s="103" t="s">
        <v>277</v>
      </c>
      <c r="B69" s="38" t="str">
        <f>_xlfn.IFNA(INDEX('RD1 Eagle'!$I$2:$I$154,MATCH(Men_5[[#This Row],[Rider]],'RD1 Eagle'!$F$2:$F$154,0)),"")</f>
        <v/>
      </c>
      <c r="C69" s="38" t="str">
        <f>_xlfn.IFNA(INDEX('RD2 Shepherds'!$I$2:$I$143,MATCH(Men_5[[#This Row],[Rider]],'RD2 Shepherds'!$F$2:$F$143,0)),"")</f>
        <v/>
      </c>
      <c r="D69" s="38" t="str">
        <f>_xlfn.IFNA(INDEX('RD3 XCO Sheps'!$I$2:$I$190,MATCH(Men_5[[#This Row],[Rider]],'RD3 XCO Sheps'!$F$2:$F$190,0)),"")</f>
        <v/>
      </c>
      <c r="E69" s="38">
        <f>_xlfn.IFNA(INDEX('RD4 Ohalloran'!$I$2:$I$180,MATCH(Men_5[[#This Row],[Rider]],'RD4 Ohalloran'!$F$2:$F$180,0)),"")</f>
        <v>350</v>
      </c>
      <c r="F69" s="38" t="str">
        <f>_xlfn.IFNA(INDEX('RD5 Craigburn'!$I$2:$I$164,MATCH(Men_5[[#This Row],[Rider]],'RD5 Craigburn'!$F$2:$F$164,0)),"")</f>
        <v/>
      </c>
      <c r="G69" s="38" t="str">
        <f>_xlfn.IFNA(INDEX('RD6 Kinchina'!$I$2:$I$200,MATCH(Men_5[[#This Row],[Rider]],'RD6 Kinchina'!$F$2:$F$200,0)),"")</f>
        <v/>
      </c>
      <c r="H69" s="38" t="str">
        <f>_xlfn.IFNA(INDEX('RD7 O''Hallaron'!$I$2:$I$190,MATCH(Men_5[[#This Row],[Rider]],'RD7 O''Hallaron'!$F$2:$F$201,0)),"")</f>
        <v/>
      </c>
      <c r="I69" s="38" t="str">
        <f>_xlfn.IFNA(INDEX('RD8 Fox Creek'!$I$2:$I$204,MATCH(Men_5[[#This Row],[Rider]],'RD8 Fox Creek'!$F$2:$F$204,0)),"")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1</v>
      </c>
      <c r="L69" s="59">
        <f>3-COUNTBLANK(Men_5[[#This Row],[RD1 XCC Eagle]:[RD3 XCO Sheps]])</f>
        <v>0</v>
      </c>
      <c r="M69" s="59">
        <f>4-COUNTBLANK(Men_5[[#This Row],[RD4 XCO Ohal]:[RD7 XCO O''Halloran]])</f>
        <v>1</v>
      </c>
      <c r="N69" s="59">
        <f>2-COUNTBLANK(Men_5[[#This Row],[RD8 XCO Fox Creek]:[RD9 XCO Willowie]])</f>
        <v>0</v>
      </c>
      <c r="O69" s="59" cm="1">
        <f t="array" ref="O69">IF(Men_5[[#This Row],[Number of Rounds]]&lt;=6,SUM(IF(ISNA(B69:J69),0,B69:J69)),SUM(LARGE(B69:J69,{1,2,3,4,5,6})))</f>
        <v>350</v>
      </c>
      <c r="P69" s="59" cm="1">
        <f t="array" ref="P69">IF(Men_5[[#This Row],[Number of Rounds XCM]]&lt;=3,SUM(IF(ISNA(E69:H69),0,E69:H69)),SUM(LARGE(E69:H69,{1,2,3})))</f>
        <v>350</v>
      </c>
      <c r="Q69" s="59">
        <f>SUM(Men_5[[#This Row],[RD8 XCO Fox Creek]:[RD9 XCO Willowie]])</f>
        <v>0</v>
      </c>
      <c r="R69" s="59">
        <f>Men_5[[#This Row],[Best 6 of 8 Overall]]+Men_5[[#This Row],[Best 3 of 4 XCM]]+Men_5[[#This Row],[Total of 2 XCO]]</f>
        <v>700</v>
      </c>
      <c r="S69" s="134" cm="1">
        <f t="array" ref="S69">68-SUM(IF(O69&gt;$O$18:$O$212,1/COUNTIF($O$18:$O$212,$O$18:$O$212)))</f>
        <v>43.999999999999837</v>
      </c>
      <c r="AO69" s="103"/>
      <c r="AP69" s="34" t="str">
        <f>_xlfn.IFNA(INDEX('RD1 Eagle'!$I$2:$I$154,MATCH(Junior7[[#This Row],[Rider]],'RD1 Eagle'!$F$2:$F$154,0)),"")</f>
        <v/>
      </c>
      <c r="AQ69" s="34" t="str">
        <f>_xlfn.IFNA(INDEX('RD2 Shepherds'!$I$2:$I$143,MATCH(Junior7[[#This Row],[Rider]],'RD2 Shepherds'!$F$2:$F$143,0)),"")</f>
        <v/>
      </c>
      <c r="AR69" s="34" t="str">
        <f>_xlfn.IFNA(INDEX('RD3 XCO Sheps'!$I$2:$I$190,MATCH(Junior7[[#This Row],[Rider]],'RD3 XCO Sheps'!$F$2:$F$190,0)),"")</f>
        <v/>
      </c>
      <c r="AS69" s="34" t="str">
        <f>_xlfn.IFNA(INDEX('RD4 Ohalloran'!$I$2:$I$184,MATCH(Junior7[[#This Row],[Rider]],'RD4 Ohalloran'!$F$2:$F$184,0)),"")</f>
        <v/>
      </c>
      <c r="AT69" s="34" t="str">
        <f>_xlfn.IFNA(INDEX('RD5 Craigburn'!$I$2:$I$168,MATCH(Junior7[[#This Row],[Rider]],'RD5 Craigburn'!$F$2:$F$168,0)),"")</f>
        <v/>
      </c>
      <c r="AU69" s="57" t="str">
        <f>_xlfn.IFNA(INDEX('RD6 Kinchina'!$I$2:$I$199,MATCH(Junior7[[#This Row],[Rider]],'RD6 Kinchina'!$F$2:$F$199,0)),"")</f>
        <v/>
      </c>
      <c r="AV69" s="57" t="str">
        <f>_xlfn.IFNA(INDEX('RD7 O''Hallaron'!$I$2:$I$190,MATCH(Junior7[[#This Row],[Rider]],'RD7 O''Hallaron'!$F$2:$F$201,0)),"")</f>
        <v/>
      </c>
      <c r="AW69" s="57" t="str">
        <f>_xlfn.IFNA(INDEX('RD8 Fox Creek'!$I$2:$I$204,MATCH(Junior7[[#This Row],[Rider]],'RD8 Fox Creek'!$F$2:$F$204,0)),"")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O''Halloran]])</f>
        <v>0</v>
      </c>
      <c r="BB69" s="24">
        <f>2-COUNTBLANK(Junior7[[#This Row],[RD8 XCO Fox Creek]:[RD9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Fox Creek]:[RD9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23-SUM(IF(BC69&gt;$BC$18:$BC$71,1/COUNTIF($BC$18:$BC$71,$BC$18:$BC$71)))</f>
        <v>23</v>
      </c>
    </row>
    <row r="70" spans="1:59" ht="16" x14ac:dyDescent="0.2">
      <c r="A70" s="103" t="s">
        <v>269</v>
      </c>
      <c r="B70" s="38" t="str">
        <f>_xlfn.IFNA(INDEX('RD1 Eagle'!$I$2:$I$154,MATCH(Men_5[[#This Row],[Rider]],'RD1 Eagle'!$F$2:$F$154,0)),"")</f>
        <v/>
      </c>
      <c r="C70" s="38" t="str">
        <f>_xlfn.IFNA(INDEX('RD2 Shepherds'!$I$2:$I$143,MATCH(Men_5[[#This Row],[Rider]],'RD2 Shepherds'!$F$2:$F$143,0)),"")</f>
        <v/>
      </c>
      <c r="D70" s="38" t="str">
        <f>_xlfn.IFNA(INDEX('RD3 XCO Sheps'!$I$2:$I$190,MATCH(Men_5[[#This Row],[Rider]],'RD3 XCO Sheps'!$F$2:$F$190,0)),"")</f>
        <v/>
      </c>
      <c r="E70" s="38">
        <f>_xlfn.IFNA(INDEX('RD4 Ohalloran'!$I$2:$I$180,MATCH(Men_5[[#This Row],[Rider]],'RD4 Ohalloran'!$F$2:$F$180,0)),"")</f>
        <v>340</v>
      </c>
      <c r="F70" s="38" t="str">
        <f>_xlfn.IFNA(INDEX('RD5 Craigburn'!$I$2:$I$164,MATCH(Men_5[[#This Row],[Rider]],'RD5 Craigburn'!$F$2:$F$164,0)),"")</f>
        <v/>
      </c>
      <c r="G70" s="38" t="str">
        <f>_xlfn.IFNA(INDEX('RD6 Kinchina'!$I$2:$I$200,MATCH(Men_5[[#This Row],[Rider]],'RD6 Kinchina'!$F$2:$F$200,0)),"")</f>
        <v/>
      </c>
      <c r="H70" s="38" t="str">
        <f>_xlfn.IFNA(INDEX('RD7 O''Hallaron'!$I$2:$I$190,MATCH(Men_5[[#This Row],[Rider]],'RD7 O''Hallaron'!$F$2:$F$201,0)),"")</f>
        <v/>
      </c>
      <c r="I70" s="38" t="str">
        <f>_xlfn.IFNA(INDEX('RD8 Fox Creek'!$I$2:$I$204,MATCH(Men_5[[#This Row],[Rider]],'RD8 Fox Creek'!$F$2:$F$204,0)),"")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1</v>
      </c>
      <c r="L70" s="59">
        <f>3-COUNTBLANK(Men_5[[#This Row],[RD1 XCC Eagle]:[RD3 XCO Sheps]])</f>
        <v>0</v>
      </c>
      <c r="M70" s="59">
        <f>4-COUNTBLANK(Men_5[[#This Row],[RD4 XCO Ohal]:[RD7 XCO O''Halloran]])</f>
        <v>1</v>
      </c>
      <c r="N70" s="59">
        <f>2-COUNTBLANK(Men_5[[#This Row],[RD8 XCO Fox Creek]:[RD9 XCO Willowie]])</f>
        <v>0</v>
      </c>
      <c r="O70" s="59" cm="1">
        <f t="array" ref="O70">IF(Men_5[[#This Row],[Number of Rounds]]&lt;=6,SUM(IF(ISNA(B70:J70),0,B70:J70)),SUM(LARGE(B70:J70,{1,2,3,4,5,6})))</f>
        <v>340</v>
      </c>
      <c r="P70" s="59" cm="1">
        <f t="array" ref="P70">IF(Men_5[[#This Row],[Number of Rounds XCM]]&lt;=3,SUM(IF(ISNA(E70:H70),0,E70:H70)),SUM(LARGE(E70:H70,{1,2,3})))</f>
        <v>340</v>
      </c>
      <c r="Q70" s="59">
        <f>SUM(Men_5[[#This Row],[RD8 XCO Fox Creek]:[RD9 XCO Willowie]])</f>
        <v>0</v>
      </c>
      <c r="R70" s="59">
        <f>Men_5[[#This Row],[Best 6 of 8 Overall]]+Men_5[[#This Row],[Best 3 of 4 XCM]]+Men_5[[#This Row],[Total of 2 XCO]]</f>
        <v>680</v>
      </c>
      <c r="S70" s="134" cm="1">
        <f t="array" ref="S70">68-SUM(IF(O70&gt;$O$18:$O$212,1/COUNTIF($O$18:$O$212,$O$18:$O$212)))</f>
        <v>44.999999999999837</v>
      </c>
      <c r="AO70" s="103"/>
      <c r="AP70" s="34" t="str">
        <f>_xlfn.IFNA(INDEX('RD1 Eagle'!$I$2:$I$154,MATCH(Junior7[[#This Row],[Rider]],'RD1 Eagle'!$F$2:$F$154,0)),"")</f>
        <v/>
      </c>
      <c r="AQ70" s="34" t="str">
        <f>_xlfn.IFNA(INDEX('RD2 Shepherds'!$I$2:$I$143,MATCH(Junior7[[#This Row],[Rider]],'RD2 Shepherds'!$F$2:$F$143,0)),"")</f>
        <v/>
      </c>
      <c r="AR70" s="34" t="str">
        <f>_xlfn.IFNA(INDEX('RD3 XCO Sheps'!$I$2:$I$190,MATCH(Junior7[[#This Row],[Rider]],'RD3 XCO Sheps'!$F$2:$F$190,0)),"")</f>
        <v/>
      </c>
      <c r="AS70" s="34" t="str">
        <f>_xlfn.IFNA(INDEX('RD4 Ohalloran'!$I$2:$I$184,MATCH(Junior7[[#This Row],[Rider]],'RD4 Ohalloran'!$F$2:$F$184,0)),"")</f>
        <v/>
      </c>
      <c r="AT70" s="34" t="str">
        <f>_xlfn.IFNA(INDEX('RD5 Craigburn'!$I$2:$I$168,MATCH(Junior7[[#This Row],[Rider]],'RD5 Craigburn'!$F$2:$F$168,0)),"")</f>
        <v/>
      </c>
      <c r="AU70" s="57" t="str">
        <f>_xlfn.IFNA(INDEX('RD6 Kinchina'!$I$2:$I$199,MATCH(Junior7[[#This Row],[Rider]],'RD6 Kinchina'!$F$2:$F$199,0)),"")</f>
        <v/>
      </c>
      <c r="AV70" s="57" t="str">
        <f>_xlfn.IFNA(INDEX('RD7 O''Hallaron'!$I$2:$I$190,MATCH(Junior7[[#This Row],[Rider]],'RD7 O''Hallaron'!$F$2:$F$201,0)),"")</f>
        <v/>
      </c>
      <c r="AW70" s="57" t="str">
        <f>_xlfn.IFNA(INDEX('RD8 Fox Creek'!$I$2:$I$204,MATCH(Junior7[[#This Row],[Rider]],'RD8 Fox Creek'!$F$2:$F$204,0)),"")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O''Halloran]])</f>
        <v>0</v>
      </c>
      <c r="BB70" s="24">
        <f>2-COUNTBLANK(Junior7[[#This Row],[RD8 XCO Fox Creek]:[RD9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Fox Creek]:[RD9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23-SUM(IF(BC70&gt;$BC$18:$BC$71,1/COUNTIF($BC$18:$BC$71,$BC$18:$BC$71)))</f>
        <v>23</v>
      </c>
    </row>
    <row r="71" spans="1:59" ht="16" x14ac:dyDescent="0.2">
      <c r="A71" s="103" t="s">
        <v>293</v>
      </c>
      <c r="B71" s="38" t="str">
        <f>_xlfn.IFNA(INDEX('RD1 Eagle'!$I$2:$I$154,MATCH(Men_5[[#This Row],[Rider]],'RD1 Eagle'!$F$2:$F$154,0)),"")</f>
        <v/>
      </c>
      <c r="C71" s="38" t="str">
        <f>_xlfn.IFNA(INDEX('RD2 Shepherds'!$I$2:$I$143,MATCH(Men_5[[#This Row],[Rider]],'RD2 Shepherds'!$F$2:$F$143,0)),"")</f>
        <v/>
      </c>
      <c r="D71" s="38" t="str">
        <f>_xlfn.IFNA(INDEX('RD3 XCO Sheps'!$I$2:$I$190,MATCH(Men_5[[#This Row],[Rider]],'RD3 XCO Sheps'!$F$2:$F$190,0)),"")</f>
        <v/>
      </c>
      <c r="E71" s="38" t="str">
        <f>_xlfn.IFNA(INDEX('RD4 Ohalloran'!$I$2:$I$180,MATCH(Men_5[[#This Row],[Rider]],'RD4 Ohalloran'!$F$2:$F$180,0)),"")</f>
        <v/>
      </c>
      <c r="F71" s="38">
        <f>_xlfn.IFNA(INDEX('RD5 Craigburn'!$I$2:$I$164,MATCH(Men_5[[#This Row],[Rider]],'RD5 Craigburn'!$F$2:$F$164,0)),"")</f>
        <v>337.5</v>
      </c>
      <c r="G71" s="38" t="str">
        <f>_xlfn.IFNA(INDEX('RD6 Kinchina'!$I$2:$I$200,MATCH(Men_5[[#This Row],[Rider]],'RD6 Kinchina'!$F$2:$F$200,0)),"")</f>
        <v/>
      </c>
      <c r="H71" s="38" t="str">
        <f>_xlfn.IFNA(INDEX('RD7 O''Hallaron'!$I$2:$I$190,MATCH(Men_5[[#This Row],[Rider]],'RD7 O''Hallaron'!$F$2:$F$201,0)),"")</f>
        <v/>
      </c>
      <c r="I71" s="38" t="str">
        <f>_xlfn.IFNA(INDEX('RD8 Fox Creek'!$I$2:$I$204,MATCH(Men_5[[#This Row],[Rider]],'RD8 Fox Creek'!$F$2:$F$204,0)),"")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1</v>
      </c>
      <c r="L71" s="59">
        <f>3-COUNTBLANK(Men_5[[#This Row],[RD1 XCC Eagle]:[RD3 XCO Sheps]])</f>
        <v>0</v>
      </c>
      <c r="M71" s="59">
        <f>4-COUNTBLANK(Men_5[[#This Row],[RD4 XCO Ohal]:[RD7 XCO O''Halloran]])</f>
        <v>1</v>
      </c>
      <c r="N71" s="59">
        <f>2-COUNTBLANK(Men_5[[#This Row],[RD8 XCO Fox Creek]:[RD9 XCO Willowie]])</f>
        <v>0</v>
      </c>
      <c r="O71" s="59" cm="1">
        <f t="array" ref="O71">IF(Men_5[[#This Row],[Number of Rounds]]&lt;=6,SUM(IF(ISNA(B71:J71),0,B71:J71)),SUM(LARGE(B71:J71,{1,2,3,4,5,6})))</f>
        <v>337.5</v>
      </c>
      <c r="P71" s="59" cm="1">
        <f t="array" ref="P71">IF(Men_5[[#This Row],[Number of Rounds XCM]]&lt;=3,SUM(IF(ISNA(E71:H71),0,E71:H71)),SUM(LARGE(E71:H71,{1,2,3})))</f>
        <v>337.5</v>
      </c>
      <c r="Q71" s="59">
        <f>SUM(Men_5[[#This Row],[RD8 XCO Fox Creek]:[RD9 XCO Willowie]])</f>
        <v>0</v>
      </c>
      <c r="R71" s="59">
        <f>Men_5[[#This Row],[Best 6 of 8 Overall]]+Men_5[[#This Row],[Best 3 of 4 XCM]]+Men_5[[#This Row],[Total of 2 XCO]]</f>
        <v>675</v>
      </c>
      <c r="S71" s="134" cm="1">
        <f t="array" ref="S71">68-SUM(IF(O71&gt;$O$18:$O$212,1/COUNTIF($O$18:$O$212,$O$18:$O$212)))</f>
        <v>45.999999999999837</v>
      </c>
      <c r="AO71" s="103"/>
      <c r="AP71" s="34" t="str">
        <f>_xlfn.IFNA(INDEX('RD1 Eagle'!$I$2:$I$154,MATCH(Junior7[[#This Row],[Rider]],'RD1 Eagle'!$F$2:$F$154,0)),"")</f>
        <v/>
      </c>
      <c r="AQ71" s="34" t="str">
        <f>_xlfn.IFNA(INDEX('RD2 Shepherds'!$I$2:$I$143,MATCH(Junior7[[#This Row],[Rider]],'RD2 Shepherds'!$F$2:$F$143,0)),"")</f>
        <v/>
      </c>
      <c r="AR71" s="34" t="str">
        <f>_xlfn.IFNA(INDEX('RD3 XCO Sheps'!$I$2:$I$190,MATCH(Junior7[[#This Row],[Rider]],'RD3 XCO Sheps'!$F$2:$F$190,0)),"")</f>
        <v/>
      </c>
      <c r="AS71" s="34" t="str">
        <f>_xlfn.IFNA(INDEX('RD4 Ohalloran'!$I$2:$I$184,MATCH(Junior7[[#This Row],[Rider]],'RD4 Ohalloran'!$F$2:$F$184,0)),"")</f>
        <v/>
      </c>
      <c r="AT71" s="34" t="str">
        <f>_xlfn.IFNA(INDEX('RD5 Craigburn'!$I$2:$I$168,MATCH(Junior7[[#This Row],[Rider]],'RD5 Craigburn'!$F$2:$F$168,0)),"")</f>
        <v/>
      </c>
      <c r="AU71" s="57" t="str">
        <f>_xlfn.IFNA(INDEX('RD6 Kinchina'!$I$2:$I$199,MATCH(Junior7[[#This Row],[Rider]],'RD6 Kinchina'!$F$2:$F$199,0)),"")</f>
        <v/>
      </c>
      <c r="AV71" s="57" t="str">
        <f>_xlfn.IFNA(INDEX('RD7 O''Hallaron'!$I$2:$I$190,MATCH(Junior7[[#This Row],[Rider]],'RD7 O''Hallaron'!$F$2:$F$201,0)),"")</f>
        <v/>
      </c>
      <c r="AW71" s="57" t="str">
        <f>_xlfn.IFNA(INDEX('RD8 Fox Creek'!$I$2:$I$204,MATCH(Junior7[[#This Row],[Rider]],'RD8 Fox Creek'!$F$2:$F$204,0)),"")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O''Halloran]])</f>
        <v>0</v>
      </c>
      <c r="BB71" s="24">
        <f>2-COUNTBLANK(Junior7[[#This Row],[RD8 XCO Fox Creek]:[RD9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Fox Creek]:[RD9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23-SUM(IF(BC71&gt;$BC$18:$BC$71,1/COUNTIF($BC$18:$BC$71,$BC$18:$BC$71)))</f>
        <v>23</v>
      </c>
    </row>
    <row r="72" spans="1:59" ht="16" x14ac:dyDescent="0.2">
      <c r="A72" s="103" t="s">
        <v>270</v>
      </c>
      <c r="B72" s="38" t="str">
        <f>_xlfn.IFNA(INDEX('RD1 Eagle'!$I$2:$I$154,MATCH(Men_5[[#This Row],[Rider]],'RD1 Eagle'!$F$2:$F$154,0)),"")</f>
        <v/>
      </c>
      <c r="C72" s="38" t="str">
        <f>_xlfn.IFNA(INDEX('RD2 Shepherds'!$I$2:$I$143,MATCH(Men_5[[#This Row],[Rider]],'RD2 Shepherds'!$F$2:$F$143,0)),"")</f>
        <v/>
      </c>
      <c r="D72" s="38" t="str">
        <f>_xlfn.IFNA(INDEX('RD3 XCO Sheps'!$I$2:$I$190,MATCH(Men_5[[#This Row],[Rider]],'RD3 XCO Sheps'!$F$2:$F$190,0)),"")</f>
        <v/>
      </c>
      <c r="E72" s="38">
        <f>_xlfn.IFNA(INDEX('RD4 Ohalloran'!$I$2:$I$180,MATCH(Men_5[[#This Row],[Rider]],'RD4 Ohalloran'!$F$2:$F$180,0)),"")</f>
        <v>330</v>
      </c>
      <c r="F72" s="38" t="str">
        <f>_xlfn.IFNA(INDEX('RD5 Craigburn'!$I$2:$I$164,MATCH(Men_5[[#This Row],[Rider]],'RD5 Craigburn'!$F$2:$F$164,0)),"")</f>
        <v/>
      </c>
      <c r="G72" s="38" t="str">
        <f>_xlfn.IFNA(INDEX('RD6 Kinchina'!$I$2:$I$200,MATCH(Men_5[[#This Row],[Rider]],'RD6 Kinchina'!$F$2:$F$200,0)),"")</f>
        <v/>
      </c>
      <c r="H72" s="38" t="str">
        <f>_xlfn.IFNA(INDEX('RD7 O''Hallaron'!$I$2:$I$190,MATCH(Men_5[[#This Row],[Rider]],'RD7 O''Hallaron'!$F$2:$F$201,0)),"")</f>
        <v/>
      </c>
      <c r="I72" s="38" t="str">
        <f>_xlfn.IFNA(INDEX('RD8 Fox Creek'!$I$2:$I$204,MATCH(Men_5[[#This Row],[Rider]],'RD8 Fox Creek'!$F$2:$F$204,0)),"")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1</v>
      </c>
      <c r="L72" s="59">
        <f>3-COUNTBLANK(Men_5[[#This Row],[RD1 XCC Eagle]:[RD3 XCO Sheps]])</f>
        <v>0</v>
      </c>
      <c r="M72" s="59">
        <f>4-COUNTBLANK(Men_5[[#This Row],[RD4 XCO Ohal]:[RD7 XCO O''Halloran]])</f>
        <v>1</v>
      </c>
      <c r="N72" s="59">
        <f>2-COUNTBLANK(Men_5[[#This Row],[RD8 XCO Fox Creek]:[RD9 XCO Willowie]])</f>
        <v>0</v>
      </c>
      <c r="O72" s="59" cm="1">
        <f t="array" ref="O72">IF(Men_5[[#This Row],[Number of Rounds]]&lt;=6,SUM(IF(ISNA(B72:J72),0,B72:J72)),SUM(LARGE(B72:J72,{1,2,3,4,5,6})))</f>
        <v>330</v>
      </c>
      <c r="P72" s="59" cm="1">
        <f t="array" ref="P72">IF(Men_5[[#This Row],[Number of Rounds XCM]]&lt;=3,SUM(IF(ISNA(E72:H72),0,E72:H72)),SUM(LARGE(E72:H72,{1,2,3})))</f>
        <v>330</v>
      </c>
      <c r="Q72" s="59">
        <f>SUM(Men_5[[#This Row],[RD8 XCO Fox Creek]:[RD9 XCO Willowie]])</f>
        <v>0</v>
      </c>
      <c r="R72" s="59">
        <f>Men_5[[#This Row],[Best 6 of 8 Overall]]+Men_5[[#This Row],[Best 3 of 4 XCM]]+Men_5[[#This Row],[Total of 2 XCO]]</f>
        <v>660</v>
      </c>
      <c r="S72" s="134" cm="1">
        <f t="array" ref="S72">68-SUM(IF(O72&gt;$O$18:$O$212,1/COUNTIF($O$18:$O$212,$O$18:$O$212)))</f>
        <v>46.999999999999837</v>
      </c>
    </row>
    <row r="73" spans="1:59" ht="16" x14ac:dyDescent="0.2">
      <c r="A73" s="103" t="s">
        <v>272</v>
      </c>
      <c r="B73" s="38" t="str">
        <f>_xlfn.IFNA(INDEX('RD1 Eagle'!$I$2:$I$154,MATCH(Men_5[[#This Row],[Rider]],'RD1 Eagle'!$F$2:$F$154,0)),"")</f>
        <v/>
      </c>
      <c r="C73" s="38" t="str">
        <f>_xlfn.IFNA(INDEX('RD2 Shepherds'!$I$2:$I$143,MATCH(Men_5[[#This Row],[Rider]],'RD2 Shepherds'!$F$2:$F$143,0)),"")</f>
        <v/>
      </c>
      <c r="D73" s="38" t="str">
        <f>_xlfn.IFNA(INDEX('RD3 XCO Sheps'!$I$2:$I$190,MATCH(Men_5[[#This Row],[Rider]],'RD3 XCO Sheps'!$F$2:$F$190,0)),"")</f>
        <v/>
      </c>
      <c r="E73" s="38">
        <f>_xlfn.IFNA(INDEX('RD4 Ohalloran'!$I$2:$I$180,MATCH(Men_5[[#This Row],[Rider]],'RD4 Ohalloran'!$F$2:$F$180,0)),"")</f>
        <v>315</v>
      </c>
      <c r="F73" s="38" t="str">
        <f>_xlfn.IFNA(INDEX('RD5 Craigburn'!$I$2:$I$164,MATCH(Men_5[[#This Row],[Rider]],'RD5 Craigburn'!$F$2:$F$164,0)),"")</f>
        <v/>
      </c>
      <c r="G73" s="38" t="str">
        <f>_xlfn.IFNA(INDEX('RD6 Kinchina'!$I$2:$I$200,MATCH(Men_5[[#This Row],[Rider]],'RD6 Kinchina'!$F$2:$F$200,0)),"")</f>
        <v/>
      </c>
      <c r="H73" s="38" t="str">
        <f>_xlfn.IFNA(INDEX('RD7 O''Hallaron'!$I$2:$I$190,MATCH(Men_5[[#This Row],[Rider]],'RD7 O''Hallaron'!$F$2:$F$201,0)),"")</f>
        <v/>
      </c>
      <c r="I73" s="38" t="str">
        <f>_xlfn.IFNA(INDEX('RD8 Fox Creek'!$I$2:$I$204,MATCH(Men_5[[#This Row],[Rider]],'RD8 Fox Creek'!$F$2:$F$204,0)),"")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0</v>
      </c>
      <c r="M73" s="59">
        <f>4-COUNTBLANK(Men_5[[#This Row],[RD4 XCO Ohal]:[RD7 XCO O''Halloran]])</f>
        <v>1</v>
      </c>
      <c r="N73" s="59">
        <f>2-COUNTBLANK(Men_5[[#This Row],[RD8 XCO Fox Creek]:[RD9 XCO Willowie]])</f>
        <v>0</v>
      </c>
      <c r="O73" s="59" cm="1">
        <f t="array" ref="O73">IF(Men_5[[#This Row],[Number of Rounds]]&lt;=6,SUM(IF(ISNA(B73:J73),0,B73:J73)),SUM(LARGE(B73:J73,{1,2,3,4,5,6})))</f>
        <v>315</v>
      </c>
      <c r="P73" s="59" cm="1">
        <f t="array" ref="P73">IF(Men_5[[#This Row],[Number of Rounds XCM]]&lt;=3,SUM(IF(ISNA(E73:H73),0,E73:H73)),SUM(LARGE(E73:H73,{1,2,3})))</f>
        <v>315</v>
      </c>
      <c r="Q73" s="59">
        <f>SUM(Men_5[[#This Row],[RD8 XCO Fox Creek]:[RD9 XCO Willowie]])</f>
        <v>0</v>
      </c>
      <c r="R73" s="59">
        <f>Men_5[[#This Row],[Best 6 of 8 Overall]]+Men_5[[#This Row],[Best 3 of 4 XCM]]+Men_5[[#This Row],[Total of 2 XCO]]</f>
        <v>630</v>
      </c>
      <c r="S73" s="134" cm="1">
        <f t="array" ref="S73">68-SUM(IF(O73&gt;$O$18:$O$212,1/COUNTIF($O$18:$O$212,$O$18:$O$212)))</f>
        <v>47.999999999999837</v>
      </c>
    </row>
    <row r="74" spans="1:59" ht="16" customHeight="1" x14ac:dyDescent="0.2">
      <c r="A74" s="103" t="s">
        <v>294</v>
      </c>
      <c r="B74" s="38" t="str">
        <f>_xlfn.IFNA(INDEX('RD1 Eagle'!$I$2:$I$154,MATCH(Men_5[[#This Row],[Rider]],'RD1 Eagle'!$F$2:$F$154,0)),"")</f>
        <v/>
      </c>
      <c r="C74" s="38" t="str">
        <f>_xlfn.IFNA(INDEX('RD2 Shepherds'!$I$2:$I$143,MATCH(Men_5[[#This Row],[Rider]],'RD2 Shepherds'!$F$2:$F$143,0)),"")</f>
        <v/>
      </c>
      <c r="D74" s="38" t="str">
        <f>_xlfn.IFNA(INDEX('RD3 XCO Sheps'!$I$2:$I$190,MATCH(Men_5[[#This Row],[Rider]],'RD3 XCO Sheps'!$F$2:$F$190,0)),"")</f>
        <v/>
      </c>
      <c r="E74" s="38" t="str">
        <f>_xlfn.IFNA(INDEX('RD4 Ohalloran'!$I$2:$I$180,MATCH(Men_5[[#This Row],[Rider]],'RD4 Ohalloran'!$F$2:$F$180,0)),"")</f>
        <v/>
      </c>
      <c r="F74" s="38">
        <f>_xlfn.IFNA(INDEX('RD5 Craigburn'!$I$2:$I$164,MATCH(Men_5[[#This Row],[Rider]],'RD5 Craigburn'!$F$2:$F$164,0)),"")</f>
        <v>315</v>
      </c>
      <c r="G74" s="38" t="str">
        <f>_xlfn.IFNA(INDEX('RD6 Kinchina'!$I$2:$I$200,MATCH(Men_5[[#This Row],[Rider]],'RD6 Kinchina'!$F$2:$F$200,0)),"")</f>
        <v/>
      </c>
      <c r="H74" s="38" t="str">
        <f>_xlfn.IFNA(INDEX('RD7 O''Hallaron'!$I$2:$I$190,MATCH(Men_5[[#This Row],[Rider]],'RD7 O''Hallaron'!$F$2:$F$201,0)),"")</f>
        <v/>
      </c>
      <c r="I74" s="38" t="str">
        <f>_xlfn.IFNA(INDEX('RD8 Fox Creek'!$I$2:$I$204,MATCH(Men_5[[#This Row],[Rider]],'RD8 Fox Creek'!$F$2:$F$204,0)),"")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0</v>
      </c>
      <c r="M74" s="59">
        <f>4-COUNTBLANK(Men_5[[#This Row],[RD4 XCO Ohal]:[RD7 XCO O''Halloran]])</f>
        <v>1</v>
      </c>
      <c r="N74" s="59">
        <f>2-COUNTBLANK(Men_5[[#This Row],[RD8 XCO Fox Creek]:[RD9 XCO Willowie]])</f>
        <v>0</v>
      </c>
      <c r="O74" s="59" cm="1">
        <f t="array" ref="O74">IF(Men_5[[#This Row],[Number of Rounds]]&lt;=6,SUM(IF(ISNA(B74:J74),0,B74:J74)),SUM(LARGE(B74:J74,{1,2,3,4,5,6})))</f>
        <v>315</v>
      </c>
      <c r="P74" s="59" cm="1">
        <f t="array" ref="P74">IF(Men_5[[#This Row],[Number of Rounds XCM]]&lt;=3,SUM(IF(ISNA(E74:H74),0,E74:H74)),SUM(LARGE(E74:H74,{1,2,3})))</f>
        <v>315</v>
      </c>
      <c r="Q74" s="59">
        <f>SUM(Men_5[[#This Row],[RD8 XCO Fox Creek]:[RD9 XCO Willowie]])</f>
        <v>0</v>
      </c>
      <c r="R74" s="59">
        <f>Men_5[[#This Row],[Best 6 of 8 Overall]]+Men_5[[#This Row],[Best 3 of 4 XCM]]+Men_5[[#This Row],[Total of 2 XCO]]</f>
        <v>630</v>
      </c>
      <c r="S74" s="134" cm="1">
        <f t="array" ref="S74">68-SUM(IF(O74&gt;$O$18:$O$212,1/COUNTIF($O$18:$O$212,$O$18:$O$212)))</f>
        <v>47.999999999999837</v>
      </c>
    </row>
    <row r="75" spans="1:59" ht="16" x14ac:dyDescent="0.2">
      <c r="A75" s="103" t="s">
        <v>224</v>
      </c>
      <c r="B75" s="38" t="str">
        <f>_xlfn.IFNA(INDEX('RD1 Eagle'!$I$2:$I$154,MATCH(Men_5[[#This Row],[Rider]],'RD1 Eagle'!$F$2:$F$154,0)),"")</f>
        <v/>
      </c>
      <c r="C75" s="38">
        <f>_xlfn.IFNA(INDEX('RD2 Shepherds'!$I$2:$I$143,MATCH(Men_5[[#This Row],[Rider]],'RD2 Shepherds'!$F$2:$F$143,0)),"")</f>
        <v>315</v>
      </c>
      <c r="D75" s="38" t="str">
        <f>_xlfn.IFNA(INDEX('RD3 XCO Sheps'!$I$2:$I$190,MATCH(Men_5[[#This Row],[Rider]],'RD3 XCO Sheps'!$F$2:$F$190,0)),"")</f>
        <v/>
      </c>
      <c r="E75" s="38" t="str">
        <f>_xlfn.IFNA(INDEX('RD4 Ohalloran'!$I$2:$I$180,MATCH(Men_5[[#This Row],[Rider]],'RD4 Ohalloran'!$F$2:$F$180,0)),"")</f>
        <v/>
      </c>
      <c r="F75" s="38" t="str">
        <f>_xlfn.IFNA(INDEX('RD5 Craigburn'!$I$2:$I$164,MATCH(Men_5[[#This Row],[Rider]],'RD5 Craigburn'!$F$2:$F$164,0)),"")</f>
        <v/>
      </c>
      <c r="G75" s="38" t="str">
        <f>_xlfn.IFNA(INDEX('RD6 Kinchina'!$I$2:$I$200,MATCH(Men_5[[#This Row],[Rider]],'RD6 Kinchina'!$F$2:$F$200,0)),"")</f>
        <v/>
      </c>
      <c r="H75" s="38" t="str">
        <f>_xlfn.IFNA(INDEX('RD7 O''Hallaron'!$I$2:$I$190,MATCH(Men_5[[#This Row],[Rider]],'RD7 O''Hallaron'!$F$2:$F$201,0)),"")</f>
        <v/>
      </c>
      <c r="I75" s="38" t="str">
        <f>_xlfn.IFNA(INDEX('RD8 Fox Creek'!$I$2:$I$204,MATCH(Men_5[[#This Row],[Rider]],'RD8 Fox Creek'!$F$2:$F$204,0)),"")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1</v>
      </c>
      <c r="M75" s="59">
        <f>4-COUNTBLANK(Men_5[[#This Row],[RD4 XCO Ohal]:[RD7 XCO O''Halloran]])</f>
        <v>0</v>
      </c>
      <c r="N75" s="59">
        <f>2-COUNTBLANK(Men_5[[#This Row],[RD8 XCO Fox Creek]:[RD9 XCO Willowie]])</f>
        <v>0</v>
      </c>
      <c r="O75" s="38" cm="1">
        <f t="array" ref="O75">IF(Men_5[[#This Row],[Number of Rounds]]&lt;=6,SUM(IF(ISNA(B75:J75),0,B75:J75)),SUM(LARGE(B75:J75,{1,2,3,4,5,6})))</f>
        <v>315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Fox Creek]:[RD9 XCO Willowie]])</f>
        <v>0</v>
      </c>
      <c r="R75" s="59">
        <f>Men_5[[#This Row],[Best 6 of 8 Overall]]+Men_5[[#This Row],[Best 3 of 4 XCM]]+Men_5[[#This Row],[Total of 2 XCO]]</f>
        <v>315</v>
      </c>
      <c r="S75" s="134" cm="1">
        <f t="array" ref="S75">68-SUM(IF(O75&gt;$O$18:$O$212,1/COUNTIF($O$18:$O$212,$O$18:$O$212)))</f>
        <v>47.999999999999837</v>
      </c>
    </row>
    <row r="76" spans="1:59" ht="16" x14ac:dyDescent="0.2">
      <c r="A76" s="103" t="s">
        <v>273</v>
      </c>
      <c r="B76" s="38" t="str">
        <f>_xlfn.IFNA(INDEX('RD1 Eagle'!$I$2:$I$154,MATCH(Men_5[[#This Row],[Rider]],'RD1 Eagle'!$F$2:$F$154,0)),"")</f>
        <v/>
      </c>
      <c r="C76" s="38" t="str">
        <f>_xlfn.IFNA(INDEX('RD2 Shepherds'!$I$2:$I$143,MATCH(Men_5[[#This Row],[Rider]],'RD2 Shepherds'!$F$2:$F$143,0)),"")</f>
        <v/>
      </c>
      <c r="D76" s="38" t="str">
        <f>_xlfn.IFNA(INDEX('RD3 XCO Sheps'!$I$2:$I$190,MATCH(Men_5[[#This Row],[Rider]],'RD3 XCO Sheps'!$F$2:$F$190,0)),"")</f>
        <v/>
      </c>
      <c r="E76" s="38">
        <f>_xlfn.IFNA(INDEX('RD4 Ohalloran'!$I$2:$I$180,MATCH(Men_5[[#This Row],[Rider]],'RD4 Ohalloran'!$F$2:$F$180,0)),"")</f>
        <v>300</v>
      </c>
      <c r="F76" s="38" t="str">
        <f>_xlfn.IFNA(INDEX('RD5 Craigburn'!$I$2:$I$164,MATCH(Men_5[[#This Row],[Rider]],'RD5 Craigburn'!$F$2:$F$164,0)),"")</f>
        <v/>
      </c>
      <c r="G76" s="38" t="str">
        <f>_xlfn.IFNA(INDEX('RD6 Kinchina'!$I$2:$I$200,MATCH(Men_5[[#This Row],[Rider]],'RD6 Kinchina'!$F$2:$F$200,0)),"")</f>
        <v/>
      </c>
      <c r="H76" s="38" t="str">
        <f>_xlfn.IFNA(INDEX('RD7 O''Hallaron'!$I$2:$I$190,MATCH(Men_5[[#This Row],[Rider]],'RD7 O''Hallaron'!$F$2:$F$201,0)),"")</f>
        <v/>
      </c>
      <c r="I76" s="38" t="str">
        <f>_xlfn.IFNA(INDEX('RD8 Fox Creek'!$I$2:$I$204,MATCH(Men_5[[#This Row],[Rider]],'RD8 Fox Creek'!$F$2:$F$204,0)),"")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0</v>
      </c>
      <c r="M76" s="59">
        <f>4-COUNTBLANK(Men_5[[#This Row],[RD4 XCO Ohal]:[RD7 XCO O''Halloran]])</f>
        <v>1</v>
      </c>
      <c r="N76" s="59">
        <f>2-COUNTBLANK(Men_5[[#This Row],[RD8 XCO Fox Creek]:[RD9 XCO Willowie]])</f>
        <v>0</v>
      </c>
      <c r="O76" s="59" cm="1">
        <f t="array" ref="O76">IF(Men_5[[#This Row],[Number of Rounds]]&lt;=6,SUM(IF(ISNA(B76:J76),0,B76:J76)),SUM(LARGE(B76:J76,{1,2,3,4,5,6})))</f>
        <v>300</v>
      </c>
      <c r="P76" s="59" cm="1">
        <f t="array" ref="P76">IF(Men_5[[#This Row],[Number of Rounds XCM]]&lt;=3,SUM(IF(ISNA(E76:H76),0,E76:H76)),SUM(LARGE(E76:H76,{1,2,3})))</f>
        <v>300</v>
      </c>
      <c r="Q76" s="59">
        <f>SUM(Men_5[[#This Row],[RD8 XCO Fox Creek]:[RD9 XCO Willowie]])</f>
        <v>0</v>
      </c>
      <c r="R76" s="59">
        <f>Men_5[[#This Row],[Best 6 of 8 Overall]]+Men_5[[#This Row],[Best 3 of 4 XCM]]+Men_5[[#This Row],[Total of 2 XCO]]</f>
        <v>600</v>
      </c>
      <c r="S76" s="134" cm="1">
        <f t="array" ref="S76">68-SUM(IF(O76&gt;$O$18:$O$212,1/COUNTIF($O$18:$O$212,$O$18:$O$212)))</f>
        <v>48.999999999999837</v>
      </c>
    </row>
    <row r="77" spans="1:59" ht="16" x14ac:dyDescent="0.2">
      <c r="A77" s="103" t="s">
        <v>297</v>
      </c>
      <c r="B77" s="38" t="str">
        <f>_xlfn.IFNA(INDEX('RD1 Eagle'!$I$2:$I$154,MATCH(Men_5[[#This Row],[Rider]],'RD1 Eagle'!$F$2:$F$154,0)),"")</f>
        <v/>
      </c>
      <c r="C77" s="38" t="str">
        <f>_xlfn.IFNA(INDEX('RD2 Shepherds'!$I$2:$I$143,MATCH(Men_5[[#This Row],[Rider]],'RD2 Shepherds'!$F$2:$F$143,0)),"")</f>
        <v/>
      </c>
      <c r="D77" s="38" t="str">
        <f>_xlfn.IFNA(INDEX('RD3 XCO Sheps'!$I$2:$I$190,MATCH(Men_5[[#This Row],[Rider]],'RD3 XCO Sheps'!$F$2:$F$190,0)),"")</f>
        <v/>
      </c>
      <c r="E77" s="38" t="str">
        <f>_xlfn.IFNA(INDEX('RD4 Ohalloran'!$I$2:$I$180,MATCH(Men_5[[#This Row],[Rider]],'RD4 Ohalloran'!$F$2:$F$180,0)),"")</f>
        <v/>
      </c>
      <c r="F77" s="38">
        <f>_xlfn.IFNA(INDEX('RD5 Craigburn'!$I$2:$I$164,MATCH(Men_5[[#This Row],[Rider]],'RD5 Craigburn'!$F$2:$F$164,0)),"")</f>
        <v>300</v>
      </c>
      <c r="G77" s="38" t="str">
        <f>_xlfn.IFNA(INDEX('RD6 Kinchina'!$I$2:$I$200,MATCH(Men_5[[#This Row],[Rider]],'RD6 Kinchina'!$F$2:$F$200,0)),"")</f>
        <v/>
      </c>
      <c r="H77" s="38" t="str">
        <f>_xlfn.IFNA(INDEX('RD7 O''Hallaron'!$I$2:$I$190,MATCH(Men_5[[#This Row],[Rider]],'RD7 O''Hallaron'!$F$2:$F$201,0)),"")</f>
        <v/>
      </c>
      <c r="I77" s="38" t="str">
        <f>_xlfn.IFNA(INDEX('RD8 Fox Creek'!$I$2:$I$204,MATCH(Men_5[[#This Row],[Rider]],'RD8 Fox Creek'!$F$2:$F$204,0)),"")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0</v>
      </c>
      <c r="M77" s="59">
        <f>4-COUNTBLANK(Men_5[[#This Row],[RD4 XCO Ohal]:[RD7 XCO O''Halloran]])</f>
        <v>1</v>
      </c>
      <c r="N77" s="59">
        <f>2-COUNTBLANK(Men_5[[#This Row],[RD8 XCO Fox Creek]:[RD9 XCO Willowie]])</f>
        <v>0</v>
      </c>
      <c r="O77" s="59" cm="1">
        <f t="array" ref="O77">IF(Men_5[[#This Row],[Number of Rounds]]&lt;=6,SUM(IF(ISNA(B77:J77),0,B77:J77)),SUM(LARGE(B77:J77,{1,2,3,4,5,6})))</f>
        <v>300</v>
      </c>
      <c r="P77" s="59" cm="1">
        <f t="array" ref="P77">IF(Men_5[[#This Row],[Number of Rounds XCM]]&lt;=3,SUM(IF(ISNA(E77:H77),0,E77:H77)),SUM(LARGE(E77:H77,{1,2,3})))</f>
        <v>300</v>
      </c>
      <c r="Q77" s="59">
        <f>SUM(Men_5[[#This Row],[RD8 XCO Fox Creek]:[RD9 XCO Willowie]])</f>
        <v>0</v>
      </c>
      <c r="R77" s="59">
        <f>Men_5[[#This Row],[Best 6 of 8 Overall]]+Men_5[[#This Row],[Best 3 of 4 XCM]]+Men_5[[#This Row],[Total of 2 XCO]]</f>
        <v>600</v>
      </c>
      <c r="S77" s="134" cm="1">
        <f t="array" ref="S77">68-SUM(IF(O77&gt;$O$18:$O$212,1/COUNTIF($O$18:$O$212,$O$18:$O$212)))</f>
        <v>48.999999999999837</v>
      </c>
    </row>
    <row r="78" spans="1:59" ht="16" x14ac:dyDescent="0.2">
      <c r="A78" s="103" t="s">
        <v>163</v>
      </c>
      <c r="B78" s="38">
        <f>_xlfn.IFNA(INDEX('RD1 Eagle'!$I$2:$I$154,MATCH(Men_5[[#This Row],[Rider]],'RD1 Eagle'!$F$2:$F$154,0)),"")</f>
        <v>294</v>
      </c>
      <c r="C78" s="38" t="str">
        <f>_xlfn.IFNA(INDEX('RD2 Shepherds'!$I$2:$I$143,MATCH(Men_5[[#This Row],[Rider]],'RD2 Shepherds'!$F$2:$F$143,0)),"")</f>
        <v/>
      </c>
      <c r="D78" s="38" t="str">
        <f>_xlfn.IFNA(INDEX('RD3 XCO Sheps'!$I$2:$I$190,MATCH(Men_5[[#This Row],[Rider]],'RD3 XCO Sheps'!$F$2:$F$190,0)),"")</f>
        <v/>
      </c>
      <c r="E78" s="38" t="str">
        <f>_xlfn.IFNA(INDEX('RD4 Ohalloran'!$I$2:$I$180,MATCH(Men_5[[#This Row],[Rider]],'RD4 Ohalloran'!$F$2:$F$180,0)),"")</f>
        <v/>
      </c>
      <c r="F78" s="38" t="str">
        <f>_xlfn.IFNA(INDEX('RD5 Craigburn'!$I$2:$I$164,MATCH(Men_5[[#This Row],[Rider]],'RD5 Craigburn'!$F$2:$F$164,0)),"")</f>
        <v/>
      </c>
      <c r="G78" s="38" t="str">
        <f>_xlfn.IFNA(INDEX('RD6 Kinchina'!$I$2:$I$200,MATCH(Men_5[[#This Row],[Rider]],'RD6 Kinchina'!$F$2:$F$200,0)),"")</f>
        <v/>
      </c>
      <c r="H78" s="38" t="str">
        <f>_xlfn.IFNA(INDEX('RD7 O''Hallaron'!$I$2:$I$190,MATCH(Men_5[[#This Row],[Rider]],'RD7 O''Hallaron'!$F$2:$F$201,0)),"")</f>
        <v/>
      </c>
      <c r="I78" s="38" t="str">
        <f>_xlfn.IFNA(INDEX('RD8 Fox Creek'!$I$2:$I$204,MATCH(Men_5[[#This Row],[Rider]],'RD8 Fox Creek'!$F$2:$F$204,0)),"")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1</v>
      </c>
      <c r="M78" s="59">
        <f>4-COUNTBLANK(Men_5[[#This Row],[RD4 XCO Ohal]:[RD7 XCO O''Halloran]])</f>
        <v>0</v>
      </c>
      <c r="N78" s="59">
        <f>2-COUNTBLANK(Men_5[[#This Row],[RD8 XCO Fox Creek]:[RD9 XCO Willowie]])</f>
        <v>0</v>
      </c>
      <c r="O78" s="59" cm="1">
        <f t="array" ref="O78">IF(Men_5[[#This Row],[Number of Rounds]]&lt;=6,SUM(IF(ISNA(B78:J78),0,B78:J78)),SUM(LARGE(B78:J78,{1,2,3,4,5,6})))</f>
        <v>294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Fox Creek]:[RD9 XCO Willowie]])</f>
        <v>0</v>
      </c>
      <c r="R78" s="59">
        <f>Men_5[[#This Row],[Best 6 of 8 Overall]]+Men_5[[#This Row],[Best 3 of 4 XCM]]+Men_5[[#This Row],[Total of 2 XCO]]</f>
        <v>294</v>
      </c>
      <c r="S78" s="134" cm="1">
        <f t="array" ref="S78">68-SUM(IF(O78&gt;$O$18:$O$212,1/COUNTIF($O$18:$O$212,$O$18:$O$212)))</f>
        <v>49.999999999999837</v>
      </c>
    </row>
    <row r="79" spans="1:59" ht="16" x14ac:dyDescent="0.2">
      <c r="A79" s="103" t="s">
        <v>225</v>
      </c>
      <c r="B79" s="38" t="str">
        <f>_xlfn.IFNA(INDEX('RD1 Eagle'!$I$2:$I$154,MATCH(Men_5[[#This Row],[Rider]],'RD1 Eagle'!$F$2:$F$154,0)),"")</f>
        <v/>
      </c>
      <c r="C79" s="38">
        <f>_xlfn.IFNA(INDEX('RD2 Shepherds'!$I$2:$I$143,MATCH(Men_5[[#This Row],[Rider]],'RD2 Shepherds'!$F$2:$F$143,0)),"")</f>
        <v>292.5</v>
      </c>
      <c r="D79" s="38" t="str">
        <f>_xlfn.IFNA(INDEX('RD3 XCO Sheps'!$I$2:$I$190,MATCH(Men_5[[#This Row],[Rider]],'RD3 XCO Sheps'!$F$2:$F$190,0)),"")</f>
        <v/>
      </c>
      <c r="E79" s="38" t="str">
        <f>_xlfn.IFNA(INDEX('RD4 Ohalloran'!$I$2:$I$180,MATCH(Men_5[[#This Row],[Rider]],'RD4 Ohalloran'!$F$2:$F$180,0)),"")</f>
        <v/>
      </c>
      <c r="F79" s="38" t="str">
        <f>_xlfn.IFNA(INDEX('RD5 Craigburn'!$I$2:$I$164,MATCH(Men_5[[#This Row],[Rider]],'RD5 Craigburn'!$F$2:$F$164,0)),"")</f>
        <v/>
      </c>
      <c r="G79" s="38" t="str">
        <f>_xlfn.IFNA(INDEX('RD6 Kinchina'!$I$2:$I$200,MATCH(Men_5[[#This Row],[Rider]],'RD6 Kinchina'!$F$2:$F$200,0)),"")</f>
        <v/>
      </c>
      <c r="H79" s="38" t="str">
        <f>_xlfn.IFNA(INDEX('RD7 O''Hallaron'!$I$2:$I$190,MATCH(Men_5[[#This Row],[Rider]],'RD7 O''Hallaron'!$F$2:$F$201,0)),"")</f>
        <v/>
      </c>
      <c r="I79" s="38" t="str">
        <f>_xlfn.IFNA(INDEX('RD8 Fox Creek'!$I$2:$I$204,MATCH(Men_5[[#This Row],[Rider]],'RD8 Fox Creek'!$F$2:$F$204,0)),"")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XCO Ohal]:[RD7 XCO O''Halloran]])</f>
        <v>0</v>
      </c>
      <c r="N79" s="59">
        <f>2-COUNTBLANK(Men_5[[#This Row],[RD8 XCO Fox Creek]:[RD9 XCO Willowie]])</f>
        <v>0</v>
      </c>
      <c r="O79" s="59" cm="1">
        <f t="array" ref="O79">IF(Men_5[[#This Row],[Number of Rounds]]&lt;=6,SUM(IF(ISNA(B79:J79),0,B79:J79)),SUM(LARGE(B79:J79,{1,2,3,4,5,6})))</f>
        <v>292.5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Fox Creek]:[RD9 XCO Willowie]])</f>
        <v>0</v>
      </c>
      <c r="R79" s="59">
        <f>Men_5[[#This Row],[Best 6 of 8 Overall]]+Men_5[[#This Row],[Best 3 of 4 XCM]]+Men_5[[#This Row],[Total of 2 XCO]]</f>
        <v>292.5</v>
      </c>
      <c r="S79" s="134" cm="1">
        <f t="array" ref="S79">68-SUM(IF(O79&gt;$O$18:$O$212,1/COUNTIF($O$18:$O$212,$O$18:$O$212)))</f>
        <v>50.999999999999837</v>
      </c>
    </row>
    <row r="80" spans="1:59" ht="16" x14ac:dyDescent="0.2">
      <c r="A80" s="103" t="s">
        <v>274</v>
      </c>
      <c r="B80" s="38" t="str">
        <f>_xlfn.IFNA(INDEX('RD1 Eagle'!$I$2:$I$154,MATCH(Men_5[[#This Row],[Rider]],'RD1 Eagle'!$F$2:$F$154,0)),"")</f>
        <v/>
      </c>
      <c r="C80" s="38" t="str">
        <f>_xlfn.IFNA(INDEX('RD2 Shepherds'!$I$2:$I$143,MATCH(Men_5[[#This Row],[Rider]],'RD2 Shepherds'!$F$2:$F$143,0)),"")</f>
        <v/>
      </c>
      <c r="D80" s="38" t="str">
        <f>_xlfn.IFNA(INDEX('RD3 XCO Sheps'!$I$2:$I$190,MATCH(Men_5[[#This Row],[Rider]],'RD3 XCO Sheps'!$F$2:$F$190,0)),"")</f>
        <v/>
      </c>
      <c r="E80" s="38">
        <f>_xlfn.IFNA(INDEX('RD4 Ohalloran'!$I$2:$I$180,MATCH(Men_5[[#This Row],[Rider]],'RD4 Ohalloran'!$F$2:$F$180,0)),"")</f>
        <v>285</v>
      </c>
      <c r="F80" s="38" t="str">
        <f>_xlfn.IFNA(INDEX('RD5 Craigburn'!$I$2:$I$164,MATCH(Men_5[[#This Row],[Rider]],'RD5 Craigburn'!$F$2:$F$164,0)),"")</f>
        <v/>
      </c>
      <c r="G80" s="38" t="str">
        <f>_xlfn.IFNA(INDEX('RD6 Kinchina'!$I$2:$I$200,MATCH(Men_5[[#This Row],[Rider]],'RD6 Kinchina'!$F$2:$F$200,0)),"")</f>
        <v/>
      </c>
      <c r="H80" s="38" t="str">
        <f>_xlfn.IFNA(INDEX('RD7 O''Hallaron'!$I$2:$I$190,MATCH(Men_5[[#This Row],[Rider]],'RD7 O''Hallaron'!$F$2:$F$201,0)),"")</f>
        <v/>
      </c>
      <c r="I80" s="38" t="str">
        <f>_xlfn.IFNA(INDEX('RD8 Fox Creek'!$I$2:$I$204,MATCH(Men_5[[#This Row],[Rider]],'RD8 Fox Creek'!$F$2:$F$204,0)),"")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0</v>
      </c>
      <c r="M80" s="59">
        <f>4-COUNTBLANK(Men_5[[#This Row],[RD4 XCO Ohal]:[RD7 XCO O''Halloran]])</f>
        <v>1</v>
      </c>
      <c r="N80" s="59">
        <f>2-COUNTBLANK(Men_5[[#This Row],[RD8 XCO Fox Creek]:[RD9 XCO Willowie]])</f>
        <v>0</v>
      </c>
      <c r="O80" s="59" cm="1">
        <f t="array" ref="O80">IF(Men_5[[#This Row],[Number of Rounds]]&lt;=6,SUM(IF(ISNA(B80:J80),0,B80:J80)),SUM(LARGE(B80:J80,{1,2,3,4,5,6})))</f>
        <v>285</v>
      </c>
      <c r="P80" s="59" cm="1">
        <f t="array" ref="P80">IF(Men_5[[#This Row],[Number of Rounds XCM]]&lt;=3,SUM(IF(ISNA(E80:H80),0,E80:H80)),SUM(LARGE(E80:H80,{1,2,3})))</f>
        <v>285</v>
      </c>
      <c r="Q80" s="59">
        <f>SUM(Men_5[[#This Row],[RD8 XCO Fox Creek]:[RD9 XCO Willowie]])</f>
        <v>0</v>
      </c>
      <c r="R80" s="59">
        <f>Men_5[[#This Row],[Best 6 of 8 Overall]]+Men_5[[#This Row],[Best 3 of 4 XCM]]+Men_5[[#This Row],[Total of 2 XCO]]</f>
        <v>570</v>
      </c>
      <c r="S80" s="134" cm="1">
        <f t="array" ref="S80">68-SUM(IF(O80&gt;$O$18:$O$212,1/COUNTIF($O$18:$O$212,$O$18:$O$212)))</f>
        <v>52.000000000000028</v>
      </c>
    </row>
    <row r="81" spans="1:19" ht="16" x14ac:dyDescent="0.2">
      <c r="A81" s="103" t="s">
        <v>296</v>
      </c>
      <c r="B81" s="38" t="str">
        <f>_xlfn.IFNA(INDEX('RD1 Eagle'!$I$2:$I$154,MATCH(Men_5[[#This Row],[Rider]],'RD1 Eagle'!$F$2:$F$154,0)),"")</f>
        <v/>
      </c>
      <c r="C81" s="38" t="str">
        <f>_xlfn.IFNA(INDEX('RD2 Shepherds'!$I$2:$I$143,MATCH(Men_5[[#This Row],[Rider]],'RD2 Shepherds'!$F$2:$F$143,0)),"")</f>
        <v/>
      </c>
      <c r="D81" s="38" t="str">
        <f>_xlfn.IFNA(INDEX('RD3 XCO Sheps'!$I$2:$I$190,MATCH(Men_5[[#This Row],[Rider]],'RD3 XCO Sheps'!$F$2:$F$190,0)),"")</f>
        <v/>
      </c>
      <c r="E81" s="38" t="str">
        <f>_xlfn.IFNA(INDEX('RD4 Ohalloran'!$I$2:$I$180,MATCH(Men_5[[#This Row],[Rider]],'RD4 Ohalloran'!$F$2:$F$180,0)),"")</f>
        <v/>
      </c>
      <c r="F81" s="38">
        <f>_xlfn.IFNA(INDEX('RD5 Craigburn'!$I$2:$I$164,MATCH(Men_5[[#This Row],[Rider]],'RD5 Craigburn'!$F$2:$F$164,0)),"")</f>
        <v>280</v>
      </c>
      <c r="G81" s="38" t="str">
        <f>_xlfn.IFNA(INDEX('RD6 Kinchina'!$I$2:$I$200,MATCH(Men_5[[#This Row],[Rider]],'RD6 Kinchina'!$F$2:$F$200,0)),"")</f>
        <v/>
      </c>
      <c r="H81" s="38" t="str">
        <f>_xlfn.IFNA(INDEX('RD7 O''Hallaron'!$I$2:$I$190,MATCH(Men_5[[#This Row],[Rider]],'RD7 O''Hallaron'!$F$2:$F$201,0)),"")</f>
        <v/>
      </c>
      <c r="I81" s="38" t="str">
        <f>_xlfn.IFNA(INDEX('RD8 Fox Creek'!$I$2:$I$204,MATCH(Men_5[[#This Row],[Rider]],'RD8 Fox Creek'!$F$2:$F$204,0)),"")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0</v>
      </c>
      <c r="M81" s="59">
        <f>4-COUNTBLANK(Men_5[[#This Row],[RD4 XCO Ohal]:[RD7 XCO O''Halloran]])</f>
        <v>1</v>
      </c>
      <c r="N81" s="59">
        <f>2-COUNTBLANK(Men_5[[#This Row],[RD8 XCO Fox Creek]:[RD9 XCO Willowie]])</f>
        <v>0</v>
      </c>
      <c r="O81" s="59" cm="1">
        <f t="array" ref="O81">IF(Men_5[[#This Row],[Number of Rounds]]&lt;=6,SUM(IF(ISNA(B81:J81),0,B81:J81)),SUM(LARGE(B81:J81,{1,2,3,4,5,6})))</f>
        <v>280</v>
      </c>
      <c r="P81" s="59" cm="1">
        <f t="array" ref="P81">IF(Men_5[[#This Row],[Number of Rounds XCM]]&lt;=3,SUM(IF(ISNA(E81:H81),0,E81:H81)),SUM(LARGE(E81:H81,{1,2,3})))</f>
        <v>280</v>
      </c>
      <c r="Q81" s="59">
        <f>SUM(Men_5[[#This Row],[RD8 XCO Fox Creek]:[RD9 XCO Willowie]])</f>
        <v>0</v>
      </c>
      <c r="R81" s="59">
        <f>Men_5[[#This Row],[Best 6 of 8 Overall]]+Men_5[[#This Row],[Best 3 of 4 XCM]]+Men_5[[#This Row],[Total of 2 XCO]]</f>
        <v>560</v>
      </c>
      <c r="S81" s="134" cm="1">
        <f t="array" ref="S81">68-SUM(IF(O81&gt;$O$18:$O$212,1/COUNTIF($O$18:$O$212,$O$18:$O$212)))</f>
        <v>53.000000000000028</v>
      </c>
    </row>
    <row r="82" spans="1:19" ht="16" x14ac:dyDescent="0.2">
      <c r="A82" s="103" t="s">
        <v>275</v>
      </c>
      <c r="B82" s="38" t="str">
        <f>_xlfn.IFNA(INDEX('RD1 Eagle'!$I$2:$I$154,MATCH(Men_5[[#This Row],[Rider]],'RD1 Eagle'!$F$2:$F$154,0)),"")</f>
        <v/>
      </c>
      <c r="C82" s="38" t="str">
        <f>_xlfn.IFNA(INDEX('RD2 Shepherds'!$I$2:$I$143,MATCH(Men_5[[#This Row],[Rider]],'RD2 Shepherds'!$F$2:$F$143,0)),"")</f>
        <v/>
      </c>
      <c r="D82" s="38" t="str">
        <f>_xlfn.IFNA(INDEX('RD3 XCO Sheps'!$I$2:$I$190,MATCH(Men_5[[#This Row],[Rider]],'RD3 XCO Sheps'!$F$2:$F$190,0)),"")</f>
        <v/>
      </c>
      <c r="E82" s="38">
        <f>_xlfn.IFNA(INDEX('RD4 Ohalloran'!$I$2:$I$180,MATCH(Men_5[[#This Row],[Rider]],'RD4 Ohalloran'!$F$2:$F$180,0)),"")</f>
        <v>277.5</v>
      </c>
      <c r="F82" s="38" t="str">
        <f>_xlfn.IFNA(INDEX('RD5 Craigburn'!$I$2:$I$164,MATCH(Men_5[[#This Row],[Rider]],'RD5 Craigburn'!$F$2:$F$164,0)),"")</f>
        <v/>
      </c>
      <c r="G82" s="38" t="str">
        <f>_xlfn.IFNA(INDEX('RD6 Kinchina'!$I$2:$I$200,MATCH(Men_5[[#This Row],[Rider]],'RD6 Kinchina'!$F$2:$F$200,0)),"")</f>
        <v/>
      </c>
      <c r="H82" s="38" t="str">
        <f>_xlfn.IFNA(INDEX('RD7 O''Hallaron'!$I$2:$I$190,MATCH(Men_5[[#This Row],[Rider]],'RD7 O''Hallaron'!$F$2:$F$201,0)),"")</f>
        <v/>
      </c>
      <c r="I82" s="38" t="str">
        <f>_xlfn.IFNA(INDEX('RD8 Fox Creek'!$I$2:$I$204,MATCH(Men_5[[#This Row],[Rider]],'RD8 Fox Creek'!$F$2:$F$204,0)),"")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0</v>
      </c>
      <c r="M82" s="59">
        <f>4-COUNTBLANK(Men_5[[#This Row],[RD4 XCO Ohal]:[RD7 XCO O''Halloran]])</f>
        <v>1</v>
      </c>
      <c r="N82" s="59">
        <f>2-COUNTBLANK(Men_5[[#This Row],[RD8 XCO Fox Creek]:[RD9 XCO Willowie]])</f>
        <v>0</v>
      </c>
      <c r="O82" s="59" cm="1">
        <f t="array" ref="O82">IF(Men_5[[#This Row],[Number of Rounds]]&lt;=6,SUM(IF(ISNA(B82:J82),0,B82:J82)),SUM(LARGE(B82:J82,{1,2,3,4,5,6})))</f>
        <v>277.5</v>
      </c>
      <c r="P82" s="59" cm="1">
        <f t="array" ref="P82">IF(Men_5[[#This Row],[Number of Rounds XCM]]&lt;=3,SUM(IF(ISNA(E82:H82),0,E82:H82)),SUM(LARGE(E82:H82,{1,2,3})))</f>
        <v>277.5</v>
      </c>
      <c r="Q82" s="59">
        <f>SUM(Men_5[[#This Row],[RD8 XCO Fox Creek]:[RD9 XCO Willowie]])</f>
        <v>0</v>
      </c>
      <c r="R82" s="59">
        <f>Men_5[[#This Row],[Best 6 of 8 Overall]]+Men_5[[#This Row],[Best 3 of 4 XCM]]+Men_5[[#This Row],[Total of 2 XCO]]</f>
        <v>555</v>
      </c>
      <c r="S82" s="134" cm="1">
        <f t="array" ref="S82">68-SUM(IF(O82&gt;$O$18:$O$212,1/COUNTIF($O$18:$O$212,$O$18:$O$212)))</f>
        <v>54.000000000000028</v>
      </c>
    </row>
    <row r="83" spans="1:19" ht="16" x14ac:dyDescent="0.2">
      <c r="A83" s="103" t="s">
        <v>295</v>
      </c>
      <c r="B83" s="165" t="str">
        <f>_xlfn.IFNA(INDEX('RD1 Eagle'!$I$2:$I$154,MATCH(Men_5[[#This Row],[Rider]],'RD1 Eagle'!$F$2:$F$154,0)),"")</f>
        <v/>
      </c>
      <c r="C83" s="165" t="str">
        <f>_xlfn.IFNA(INDEX('RD2 Shepherds'!$I$2:$I$143,MATCH(Men_5[[#This Row],[Rider]],'RD2 Shepherds'!$F$2:$F$143,0)),"")</f>
        <v/>
      </c>
      <c r="D83" s="165" t="str">
        <f>_xlfn.IFNA(INDEX('RD3 XCO Sheps'!$I$2:$I$190,MATCH(Men_5[[#This Row],[Rider]],'RD3 XCO Sheps'!$F$2:$F$190,0)),"")</f>
        <v/>
      </c>
      <c r="E83" s="165" t="str">
        <f>_xlfn.IFNA(INDEX('RD4 Ohalloran'!$I$2:$I$180,MATCH(Men_5[[#This Row],[Rider]],'RD4 Ohalloran'!$F$2:$F$180,0)),"")</f>
        <v/>
      </c>
      <c r="F83" s="165">
        <f>_xlfn.IFNA(INDEX('RD5 Craigburn'!$I$2:$I$164,MATCH(Men_5[[#This Row],[Rider]],'RD5 Craigburn'!$F$2:$F$164,0)),"")</f>
        <v>277.5</v>
      </c>
      <c r="G83" s="165" t="str">
        <f>_xlfn.IFNA(INDEX('RD6 Kinchina'!$I$2:$I$200,MATCH(Men_5[[#This Row],[Rider]],'RD6 Kinchina'!$F$2:$F$200,0)),"")</f>
        <v/>
      </c>
      <c r="H83" s="38" t="str">
        <f>_xlfn.IFNA(INDEX('RD7 O''Hallaron'!$I$2:$I$190,MATCH(Men_5[[#This Row],[Rider]],'RD7 O''Hallaron'!$F$2:$F$201,0)),"")</f>
        <v/>
      </c>
      <c r="I83" s="165" t="str">
        <f>_xlfn.IFNA(INDEX('RD8 Fox Creek'!$I$2:$I$204,MATCH(Men_5[[#This Row],[Rider]],'RD8 Fox Creek'!$F$2:$F$204,0)),"")</f>
        <v/>
      </c>
      <c r="J83" s="38" t="str">
        <f>_xlfn.IFNA(INDEX('RD9 XCM Melrose W'!$I$2:$I$194,MATCH(Men_5[[#This Row],[Rider]],'RD9 XCM Melrose W'!$F$2:$F$194,0)),"")</f>
        <v/>
      </c>
      <c r="K83" s="165">
        <f>9-COUNTBLANK(Men_5[[#This Row],[RD1 XCC Eagle]:[RD9 XCO Willowie]])</f>
        <v>1</v>
      </c>
      <c r="L83" s="59">
        <f>3-COUNTBLANK(Men_5[[#This Row],[RD1 XCC Eagle]:[RD3 XCO Sheps]])</f>
        <v>0</v>
      </c>
      <c r="M83" s="59">
        <f>4-COUNTBLANK(Men_5[[#This Row],[RD4 XCO Ohal]:[RD7 XCO O''Halloran]])</f>
        <v>1</v>
      </c>
      <c r="N83" s="59">
        <f>2-COUNTBLANK(Men_5[[#This Row],[RD8 XCO Fox Creek]:[RD9 XCO Willowie]])</f>
        <v>0</v>
      </c>
      <c r="O83" s="59" cm="1">
        <f t="array" ref="O83">IF(Men_5[[#This Row],[Number of Rounds]]&lt;=6,SUM(IF(ISNA(B83:J83),0,B83:J83)),SUM(LARGE(B83:J83,{1,2,3,4,5,6})))</f>
        <v>277.5</v>
      </c>
      <c r="P83" s="59" cm="1">
        <f t="array" ref="P83">IF(Men_5[[#This Row],[Number of Rounds XCM]]&lt;=3,SUM(IF(ISNA(E83:H83),0,E83:H83)),SUM(LARGE(E83:H83,{1,2,3})))</f>
        <v>277.5</v>
      </c>
      <c r="Q83" s="59">
        <f>SUM(Men_5[[#This Row],[RD8 XCO Fox Creek]:[RD9 XCO Willowie]])</f>
        <v>0</v>
      </c>
      <c r="R83" s="166">
        <f>Men_5[[#This Row],[Best 6 of 8 Overall]]+Men_5[[#This Row],[Best 3 of 4 XCM]]+Men_5[[#This Row],[Total of 2 XCO]]</f>
        <v>555</v>
      </c>
      <c r="S83" s="134" cm="1">
        <f t="array" ref="S83">68-SUM(IF(O83&gt;$O$18:$O$212,1/COUNTIF($O$18:$O$212,$O$18:$O$212)))</f>
        <v>54.000000000000028</v>
      </c>
    </row>
    <row r="84" spans="1:19" ht="16" x14ac:dyDescent="0.2">
      <c r="A84" s="103" t="s">
        <v>203</v>
      </c>
      <c r="B84" s="38">
        <f>_xlfn.IFNA(INDEX('RD1 Eagle'!$I$2:$I$154,MATCH(Men_5[[#This Row],[Rider]],'RD1 Eagle'!$F$2:$F$154,0)),"")</f>
        <v>273</v>
      </c>
      <c r="C84" s="38" t="str">
        <f>_xlfn.IFNA(INDEX('RD2 Shepherds'!$I$2:$I$143,MATCH(Men_5[[#This Row],[Rider]],'RD2 Shepherds'!$F$2:$F$143,0)),"")</f>
        <v/>
      </c>
      <c r="D84" s="38" t="str">
        <f>_xlfn.IFNA(INDEX('RD3 XCO Sheps'!$I$2:$I$190,MATCH(Men_5[[#This Row],[Rider]],'RD3 XCO Sheps'!$F$2:$F$190,0)),"")</f>
        <v/>
      </c>
      <c r="E84" s="38" t="str">
        <f>_xlfn.IFNA(INDEX('RD4 Ohalloran'!$I$2:$I$180,MATCH(Men_5[[#This Row],[Rider]],'RD4 Ohalloran'!$F$2:$F$180,0)),"")</f>
        <v/>
      </c>
      <c r="F84" s="38" t="str">
        <f>_xlfn.IFNA(INDEX('RD5 Craigburn'!$I$2:$I$164,MATCH(Men_5[[#This Row],[Rider]],'RD5 Craigburn'!$F$2:$F$164,0)),"")</f>
        <v/>
      </c>
      <c r="G84" s="38" t="str">
        <f>_xlfn.IFNA(INDEX('RD6 Kinchina'!$I$2:$I$200,MATCH(Men_5[[#This Row],[Rider]],'RD6 Kinchina'!$F$2:$F$200,0)),"")</f>
        <v/>
      </c>
      <c r="H84" s="38" t="str">
        <f>_xlfn.IFNA(INDEX('RD7 O''Hallaron'!$I$2:$I$190,MATCH(Men_5[[#This Row],[Rider]],'RD7 O''Hallaron'!$F$2:$F$201,0)),"")</f>
        <v/>
      </c>
      <c r="I84" s="38" t="str">
        <f>_xlfn.IFNA(INDEX('RD8 Fox Creek'!$I$2:$I$204,MATCH(Men_5[[#This Row],[Rider]],'RD8 Fox Creek'!$F$2:$F$204,0)),"")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XCO Ohal]:[RD7 XCO O''Halloran]])</f>
        <v>0</v>
      </c>
      <c r="N84" s="59">
        <f>2-COUNTBLANK(Men_5[[#This Row],[RD8 XCO Fox Creek]:[RD9 XCO Willowie]])</f>
        <v>0</v>
      </c>
      <c r="O84" s="59" cm="1">
        <f t="array" ref="O84">IF(Men_5[[#This Row],[Number of Rounds]]&lt;=6,SUM(IF(ISNA(B84:J84),0,B84:J84)),SUM(LARGE(B84:J84,{1,2,3,4,5,6})))</f>
        <v>273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Fox Creek]:[RD9 XCO Willowie]])</f>
        <v>0</v>
      </c>
      <c r="R84" s="59">
        <f>Men_5[[#This Row],[Best 6 of 8 Overall]]+Men_5[[#This Row],[Best 3 of 4 XCM]]+Men_5[[#This Row],[Total of 2 XCO]]</f>
        <v>273</v>
      </c>
      <c r="S84" s="134" cm="1">
        <f t="array" ref="S84">68-SUM(IF(O84&gt;$O$18:$O$212,1/COUNTIF($O$18:$O$212,$O$18:$O$212)))</f>
        <v>55.000000000000028</v>
      </c>
    </row>
    <row r="85" spans="1:19" ht="16" x14ac:dyDescent="0.2">
      <c r="A85" s="103" t="s">
        <v>280</v>
      </c>
      <c r="B85" s="38" t="str">
        <f>_xlfn.IFNA(INDEX('RD1 Eagle'!$I$2:$I$154,MATCH(Men_5[[#This Row],[Rider]],'RD1 Eagle'!$F$2:$F$154,0)),"")</f>
        <v/>
      </c>
      <c r="C85" s="38" t="str">
        <f>_xlfn.IFNA(INDEX('RD2 Shepherds'!$I$2:$I$143,MATCH(Men_5[[#This Row],[Rider]],'RD2 Shepherds'!$F$2:$F$143,0)),"")</f>
        <v/>
      </c>
      <c r="D85" s="38" t="str">
        <f>_xlfn.IFNA(INDEX('RD3 XCO Sheps'!$I$2:$I$190,MATCH(Men_5[[#This Row],[Rider]],'RD3 XCO Sheps'!$F$2:$F$190,0)),"")</f>
        <v/>
      </c>
      <c r="E85" s="38">
        <f>_xlfn.IFNA(INDEX('RD4 Ohalloran'!$I$2:$I$180,MATCH(Men_5[[#This Row],[Rider]],'RD4 Ohalloran'!$F$2:$F$180,0)),"")</f>
        <v>273</v>
      </c>
      <c r="F85" s="38" t="str">
        <f>_xlfn.IFNA(INDEX('RD5 Craigburn'!$I$2:$I$164,MATCH(Men_5[[#This Row],[Rider]],'RD5 Craigburn'!$F$2:$F$164,0)),"")</f>
        <v/>
      </c>
      <c r="G85" s="38" t="str">
        <f>_xlfn.IFNA(INDEX('RD6 Kinchina'!$I$2:$I$200,MATCH(Men_5[[#This Row],[Rider]],'RD6 Kinchina'!$F$2:$F$200,0)),"")</f>
        <v/>
      </c>
      <c r="H85" s="38" t="str">
        <f>_xlfn.IFNA(INDEX('RD7 O''Hallaron'!$I$2:$I$190,MATCH(Men_5[[#This Row],[Rider]],'RD7 O''Hallaron'!$F$2:$F$201,0)),"")</f>
        <v/>
      </c>
      <c r="I85" s="38" t="str">
        <f>_xlfn.IFNA(INDEX('RD8 Fox Creek'!$I$2:$I$204,MATCH(Men_5[[#This Row],[Rider]],'RD8 Fox Creek'!$F$2:$F$204,0)),"")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0</v>
      </c>
      <c r="M85" s="59">
        <f>4-COUNTBLANK(Men_5[[#This Row],[RD4 XCO Ohal]:[RD7 XCO O''Halloran]])</f>
        <v>1</v>
      </c>
      <c r="N85" s="59">
        <f>2-COUNTBLANK(Men_5[[#This Row],[RD8 XCO Fox Creek]:[RD9 XCO Willowie]])</f>
        <v>0</v>
      </c>
      <c r="O85" s="59" cm="1">
        <f t="array" ref="O85">IF(Men_5[[#This Row],[Number of Rounds]]&lt;=6,SUM(IF(ISNA(B85:J85),0,B85:J85)),SUM(LARGE(B85:J85,{1,2,3,4,5,6})))</f>
        <v>273</v>
      </c>
      <c r="P85" s="59" cm="1">
        <f t="array" ref="P85">IF(Men_5[[#This Row],[Number of Rounds XCM]]&lt;=3,SUM(IF(ISNA(E85:H85),0,E85:H85)),SUM(LARGE(E85:H85,{1,2,3})))</f>
        <v>273</v>
      </c>
      <c r="Q85" s="59">
        <f>SUM(Men_5[[#This Row],[RD8 XCO Fox Creek]:[RD9 XCO Willowie]])</f>
        <v>0</v>
      </c>
      <c r="R85" s="59">
        <f>Men_5[[#This Row],[Best 6 of 8 Overall]]+Men_5[[#This Row],[Best 3 of 4 XCM]]+Men_5[[#This Row],[Total of 2 XCO]]</f>
        <v>546</v>
      </c>
      <c r="S85" s="134" cm="1">
        <f t="array" ref="S85">68-SUM(IF(O85&gt;$O$18:$O$212,1/COUNTIF($O$18:$O$212,$O$18:$O$212)))</f>
        <v>55.000000000000028</v>
      </c>
    </row>
    <row r="86" spans="1:19" ht="16" x14ac:dyDescent="0.2">
      <c r="A86" s="103" t="s">
        <v>298</v>
      </c>
      <c r="B86" s="38" t="str">
        <f>_xlfn.IFNA(INDEX('RD1 Eagle'!$I$2:$I$154,MATCH(Men_5[[#This Row],[Rider]],'RD1 Eagle'!$F$2:$F$154,0)),"")</f>
        <v/>
      </c>
      <c r="C86" s="38" t="str">
        <f>_xlfn.IFNA(INDEX('RD2 Shepherds'!$I$2:$I$143,MATCH(Men_5[[#This Row],[Rider]],'RD2 Shepherds'!$F$2:$F$143,0)),"")</f>
        <v/>
      </c>
      <c r="D86" s="38" t="str">
        <f>_xlfn.IFNA(INDEX('RD3 XCO Sheps'!$I$2:$I$190,MATCH(Men_5[[#This Row],[Rider]],'RD3 XCO Sheps'!$F$2:$F$190,0)),"")</f>
        <v/>
      </c>
      <c r="E86" s="38" t="str">
        <f>_xlfn.IFNA(INDEX('RD4 Ohalloran'!$I$2:$I$180,MATCH(Men_5[[#This Row],[Rider]],'RD4 Ohalloran'!$F$2:$F$180,0)),"")</f>
        <v/>
      </c>
      <c r="F86" s="38">
        <f>_xlfn.IFNA(INDEX('RD5 Craigburn'!$I$2:$I$164,MATCH(Men_5[[#This Row],[Rider]],'RD5 Craigburn'!$F$2:$F$164,0)),"")</f>
        <v>270</v>
      </c>
      <c r="G86" s="38" t="str">
        <f>_xlfn.IFNA(INDEX('RD6 Kinchina'!$I$2:$I$200,MATCH(Men_5[[#This Row],[Rider]],'RD6 Kinchina'!$F$2:$F$200,0)),"")</f>
        <v/>
      </c>
      <c r="H86" s="38" t="str">
        <f>_xlfn.IFNA(INDEX('RD7 O''Hallaron'!$I$2:$I$190,MATCH(Men_5[[#This Row],[Rider]],'RD7 O''Hallaron'!$F$2:$F$201,0)),"")</f>
        <v/>
      </c>
      <c r="I86" s="38" t="str">
        <f>_xlfn.IFNA(INDEX('RD8 Fox Creek'!$I$2:$I$204,MATCH(Men_5[[#This Row],[Rider]],'RD8 Fox Creek'!$F$2:$F$204,0)),"")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0</v>
      </c>
      <c r="M86" s="59">
        <f>4-COUNTBLANK(Men_5[[#This Row],[RD4 XCO Ohal]:[RD7 XCO O''Halloran]])</f>
        <v>1</v>
      </c>
      <c r="N86" s="59">
        <f>2-COUNTBLANK(Men_5[[#This Row],[RD8 XCO Fox Creek]:[RD9 XCO Willowie]])</f>
        <v>0</v>
      </c>
      <c r="O86" s="59" cm="1">
        <f t="array" ref="O86">IF(Men_5[[#This Row],[Number of Rounds]]&lt;=6,SUM(IF(ISNA(B86:J86),0,B86:J86)),SUM(LARGE(B86:J86,{1,2,3,4,5,6})))</f>
        <v>270</v>
      </c>
      <c r="P86" s="59" cm="1">
        <f t="array" ref="P86">IF(Men_5[[#This Row],[Number of Rounds XCM]]&lt;=3,SUM(IF(ISNA(E86:H86),0,E86:H86)),SUM(LARGE(E86:H86,{1,2,3})))</f>
        <v>270</v>
      </c>
      <c r="Q86" s="59">
        <f>SUM(Men_5[[#This Row],[RD8 XCO Fox Creek]:[RD9 XCO Willowie]])</f>
        <v>0</v>
      </c>
      <c r="R86" s="59">
        <f>Men_5[[#This Row],[Best 6 of 8 Overall]]+Men_5[[#This Row],[Best 3 of 4 XCM]]+Men_5[[#This Row],[Total of 2 XCO]]</f>
        <v>540</v>
      </c>
      <c r="S86" s="134" cm="1">
        <f t="array" ref="S86">68-SUM(IF(O86&gt;$O$18:$O$212,1/COUNTIF($O$18:$O$212,$O$18:$O$212)))</f>
        <v>56.000000000000028</v>
      </c>
    </row>
    <row r="87" spans="1:19" ht="16" x14ac:dyDescent="0.2">
      <c r="A87" s="103" t="s">
        <v>207</v>
      </c>
      <c r="B87" s="38">
        <f>_xlfn.IFNA(INDEX('RD1 Eagle'!$I$2:$I$154,MATCH(Men_5[[#This Row],[Rider]],'RD1 Eagle'!$F$2:$F$154,0)),"")</f>
        <v>270</v>
      </c>
      <c r="C87" s="38" t="str">
        <f>_xlfn.IFNA(INDEX('RD2 Shepherds'!$I$2:$I$143,MATCH(Men_5[[#This Row],[Rider]],'RD2 Shepherds'!$F$2:$F$143,0)),"")</f>
        <v/>
      </c>
      <c r="D87" s="38" t="str">
        <f>_xlfn.IFNA(INDEX('RD3 XCO Sheps'!$I$2:$I$190,MATCH(Men_5[[#This Row],[Rider]],'RD3 XCO Sheps'!$F$2:$F$190,0)),"")</f>
        <v/>
      </c>
      <c r="E87" s="38" t="str">
        <f>_xlfn.IFNA(INDEX('RD4 Ohalloran'!$I$2:$I$180,MATCH(Men_5[[#This Row],[Rider]],'RD4 Ohalloran'!$F$2:$F$180,0)),"")</f>
        <v/>
      </c>
      <c r="F87" s="38" t="str">
        <f>_xlfn.IFNA(INDEX('RD5 Craigburn'!$I$2:$I$164,MATCH(Men_5[[#This Row],[Rider]],'RD5 Craigburn'!$F$2:$F$164,0)),"")</f>
        <v/>
      </c>
      <c r="G87" s="38" t="str">
        <f>_xlfn.IFNA(INDEX('RD6 Kinchina'!$I$2:$I$200,MATCH(Men_5[[#This Row],[Rider]],'RD6 Kinchina'!$F$2:$F$200,0)),"")</f>
        <v/>
      </c>
      <c r="H87" s="38" t="str">
        <f>_xlfn.IFNA(INDEX('RD7 O''Hallaron'!$I$2:$I$190,MATCH(Men_5[[#This Row],[Rider]],'RD7 O''Hallaron'!$F$2:$F$201,0)),"")</f>
        <v/>
      </c>
      <c r="I87" s="38" t="str">
        <f>_xlfn.IFNA(INDEX('RD8 Fox Creek'!$I$2:$I$204,MATCH(Men_5[[#This Row],[Rider]],'RD8 Fox Creek'!$F$2:$F$204,0)),"")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1</v>
      </c>
      <c r="M87" s="59">
        <f>4-COUNTBLANK(Men_5[[#This Row],[RD4 XCO Ohal]:[RD7 XCO O''Halloran]])</f>
        <v>0</v>
      </c>
      <c r="N87" s="59">
        <f>2-COUNTBLANK(Men_5[[#This Row],[RD8 XCO Fox Creek]:[RD9 XCO Willowie]])</f>
        <v>0</v>
      </c>
      <c r="O87" s="59" cm="1">
        <f t="array" ref="O87">IF(Men_5[[#This Row],[Number of Rounds]]&lt;=6,SUM(IF(ISNA(B87:J87),0,B87:J87)),SUM(LARGE(B87:J87,{1,2,3,4,5,6})))</f>
        <v>270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Fox Creek]:[RD9 XCO Willowie]])</f>
        <v>0</v>
      </c>
      <c r="R87" s="59">
        <f>Men_5[[#This Row],[Best 6 of 8 Overall]]+Men_5[[#This Row],[Best 3 of 4 XCM]]+Men_5[[#This Row],[Total of 2 XCO]]</f>
        <v>270</v>
      </c>
      <c r="S87" s="134" cm="1">
        <f t="array" ref="S87">68-SUM(IF(O87&gt;$O$18:$O$212,1/COUNTIF($O$18:$O$212,$O$18:$O$212)))</f>
        <v>56.000000000000028</v>
      </c>
    </row>
    <row r="88" spans="1:19" ht="16" x14ac:dyDescent="0.2">
      <c r="A88" s="103" t="s">
        <v>231</v>
      </c>
      <c r="B88" s="38" t="str">
        <f>_xlfn.IFNA(INDEX('RD1 Eagle'!$I$2:$I$154,MATCH(Men_5[[#This Row],[Rider]],'RD1 Eagle'!$F$2:$F$154,0)),"")</f>
        <v/>
      </c>
      <c r="C88" s="38">
        <f>_xlfn.IFNA(INDEX('RD2 Shepherds'!$I$2:$I$143,MATCH(Men_5[[#This Row],[Rider]],'RD2 Shepherds'!$F$2:$F$143,0)),"")</f>
        <v>266</v>
      </c>
      <c r="D88" s="38" t="str">
        <f>_xlfn.IFNA(INDEX('RD3 XCO Sheps'!$I$2:$I$190,MATCH(Men_5[[#This Row],[Rider]],'RD3 XCO Sheps'!$F$2:$F$190,0)),"")</f>
        <v/>
      </c>
      <c r="E88" s="38" t="str">
        <f>_xlfn.IFNA(INDEX('RD4 Ohalloran'!$I$2:$I$180,MATCH(Men_5[[#This Row],[Rider]],'RD4 Ohalloran'!$F$2:$F$180,0)),"")</f>
        <v/>
      </c>
      <c r="F88" s="38" t="str">
        <f>_xlfn.IFNA(INDEX('RD5 Craigburn'!$I$2:$I$164,MATCH(Men_5[[#This Row],[Rider]],'RD5 Craigburn'!$F$2:$F$164,0)),"")</f>
        <v/>
      </c>
      <c r="G88" s="38" t="str">
        <f>_xlfn.IFNA(INDEX('RD6 Kinchina'!$I$2:$I$200,MATCH(Men_5[[#This Row],[Rider]],'RD6 Kinchina'!$F$2:$F$200,0)),"")</f>
        <v/>
      </c>
      <c r="H88" s="38" t="str">
        <f>_xlfn.IFNA(INDEX('RD7 O''Hallaron'!$I$2:$I$190,MATCH(Men_5[[#This Row],[Rider]],'RD7 O''Hallaron'!$F$2:$F$201,0)),"")</f>
        <v/>
      </c>
      <c r="I88" s="38" t="str">
        <f>_xlfn.IFNA(INDEX('RD8 Fox Creek'!$I$2:$I$204,MATCH(Men_5[[#This Row],[Rider]],'RD8 Fox Creek'!$F$2:$F$204,0)),"")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XCO Ohal]:[RD7 XCO O''Halloran]])</f>
        <v>0</v>
      </c>
      <c r="N88" s="59">
        <f>2-COUNTBLANK(Men_5[[#This Row],[RD8 XCO Fox Creek]:[RD9 XCO Willowie]])</f>
        <v>0</v>
      </c>
      <c r="O88" s="59" cm="1">
        <f t="array" ref="O88">IF(Men_5[[#This Row],[Number of Rounds]]&lt;=6,SUM(IF(ISNA(B88:J88),0,B88:J88)),SUM(LARGE(B88:J88,{1,2,3,4,5,6})))</f>
        <v>266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Fox Creek]:[RD9 XCO Willowie]])</f>
        <v>0</v>
      </c>
      <c r="R88" s="59">
        <f>Men_5[[#This Row],[Best 6 of 8 Overall]]+Men_5[[#This Row],[Best 3 of 4 XCM]]+Men_5[[#This Row],[Total of 2 XCO]]</f>
        <v>266</v>
      </c>
      <c r="S88" s="134" cm="1">
        <f t="array" ref="S88">68-SUM(IF(O88&gt;$O$18:$O$212,1/COUNTIF($O$18:$O$212,$O$18:$O$212)))</f>
        <v>57.000000000000028</v>
      </c>
    </row>
    <row r="89" spans="1:19" ht="16" x14ac:dyDescent="0.2">
      <c r="A89" s="103" t="s">
        <v>227</v>
      </c>
      <c r="B89" s="38" t="str">
        <f>_xlfn.IFNA(INDEX('RD1 Eagle'!$I$2:$I$154,MATCH(Men_5[[#This Row],[Rider]],'RD1 Eagle'!$F$2:$F$154,0)),"")</f>
        <v/>
      </c>
      <c r="C89" s="38">
        <f>_xlfn.IFNA(INDEX('RD2 Shepherds'!$I$2:$I$143,MATCH(Men_5[[#This Row],[Rider]],'RD2 Shepherds'!$F$2:$F$143,0)),"")</f>
        <v>262.5</v>
      </c>
      <c r="D89" s="38" t="str">
        <f>_xlfn.IFNA(INDEX('RD3 XCO Sheps'!$I$2:$I$190,MATCH(Men_5[[#This Row],[Rider]],'RD3 XCO Sheps'!$F$2:$F$190,0)),"")</f>
        <v/>
      </c>
      <c r="E89" s="38" t="str">
        <f>_xlfn.IFNA(INDEX('RD4 Ohalloran'!$I$2:$I$180,MATCH(Men_5[[#This Row],[Rider]],'RD4 Ohalloran'!$F$2:$F$180,0)),"")</f>
        <v/>
      </c>
      <c r="F89" s="38" t="str">
        <f>_xlfn.IFNA(INDEX('RD5 Craigburn'!$I$2:$I$164,MATCH(Men_5[[#This Row],[Rider]],'RD5 Craigburn'!$F$2:$F$164,0)),"")</f>
        <v/>
      </c>
      <c r="G89" s="38" t="str">
        <f>_xlfn.IFNA(INDEX('RD6 Kinchina'!$I$2:$I$200,MATCH(Men_5[[#This Row],[Rider]],'RD6 Kinchina'!$F$2:$F$200,0)),"")</f>
        <v/>
      </c>
      <c r="H89" s="38" t="str">
        <f>_xlfn.IFNA(INDEX('RD7 O''Hallaron'!$I$2:$I$190,MATCH(Men_5[[#This Row],[Rider]],'RD7 O''Hallaron'!$F$2:$F$201,0)),"")</f>
        <v/>
      </c>
      <c r="I89" s="38" t="str">
        <f>_xlfn.IFNA(INDEX('RD8 Fox Creek'!$I$2:$I$204,MATCH(Men_5[[#This Row],[Rider]],'RD8 Fox Creek'!$F$2:$F$204,0)),"")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XCO Ohal]:[RD7 XCO O''Halloran]])</f>
        <v>0</v>
      </c>
      <c r="N89" s="59">
        <f>2-COUNTBLANK(Men_5[[#This Row],[RD8 XCO Fox Creek]:[RD9 XCO Willowie]])</f>
        <v>0</v>
      </c>
      <c r="O89" s="59" cm="1">
        <f t="array" ref="O89">IF(Men_5[[#This Row],[Number of Rounds]]&lt;=6,SUM(IF(ISNA(B89:J89),0,B89:J89)),SUM(LARGE(B89:J89,{1,2,3,4,5,6})))</f>
        <v>262.5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Fox Creek]:[RD9 XCO Willowie]])</f>
        <v>0</v>
      </c>
      <c r="R89" s="59">
        <f>Men_5[[#This Row],[Best 6 of 8 Overall]]+Men_5[[#This Row],[Best 3 of 4 XCM]]+Men_5[[#This Row],[Total of 2 XCO]]</f>
        <v>262.5</v>
      </c>
      <c r="S89" s="134" cm="1">
        <f t="array" ref="S89">68-SUM(IF(O89&gt;$O$18:$O$212,1/COUNTIF($O$18:$O$212,$O$18:$O$212)))</f>
        <v>58.000000000000028</v>
      </c>
    </row>
    <row r="90" spans="1:19" ht="16" x14ac:dyDescent="0.2">
      <c r="A90" s="103" t="s">
        <v>204</v>
      </c>
      <c r="B90" s="38">
        <f>_xlfn.IFNA(INDEX('RD1 Eagle'!$I$2:$I$154,MATCH(Men_5[[#This Row],[Rider]],'RD1 Eagle'!$F$2:$F$154,0)),"")</f>
        <v>251.99999999999997</v>
      </c>
      <c r="C90" s="38" t="str">
        <f>_xlfn.IFNA(INDEX('RD2 Shepherds'!$I$2:$I$143,MATCH(Men_5[[#This Row],[Rider]],'RD2 Shepherds'!$F$2:$F$143,0)),"")</f>
        <v/>
      </c>
      <c r="D90" s="38" t="str">
        <f>_xlfn.IFNA(INDEX('RD3 XCO Sheps'!$I$2:$I$190,MATCH(Men_5[[#This Row],[Rider]],'RD3 XCO Sheps'!$F$2:$F$190,0)),"")</f>
        <v/>
      </c>
      <c r="E90" s="38" t="str">
        <f>_xlfn.IFNA(INDEX('RD4 Ohalloran'!$I$2:$I$180,MATCH(Men_5[[#This Row],[Rider]],'RD4 Ohalloran'!$F$2:$F$180,0)),"")</f>
        <v/>
      </c>
      <c r="F90" s="38" t="str">
        <f>_xlfn.IFNA(INDEX('RD5 Craigburn'!$I$2:$I$164,MATCH(Men_5[[#This Row],[Rider]],'RD5 Craigburn'!$F$2:$F$164,0)),"")</f>
        <v/>
      </c>
      <c r="G90" s="38" t="str">
        <f>_xlfn.IFNA(INDEX('RD6 Kinchina'!$I$2:$I$200,MATCH(Men_5[[#This Row],[Rider]],'RD6 Kinchina'!$F$2:$F$200,0)),"")</f>
        <v/>
      </c>
      <c r="H90" s="38" t="str">
        <f>_xlfn.IFNA(INDEX('RD7 O''Hallaron'!$I$2:$I$190,MATCH(Men_5[[#This Row],[Rider]],'RD7 O''Hallaron'!$F$2:$F$201,0)),"")</f>
        <v/>
      </c>
      <c r="I90" s="38" t="str">
        <f>_xlfn.IFNA(INDEX('RD8 Fox Creek'!$I$2:$I$204,MATCH(Men_5[[#This Row],[Rider]],'RD8 Fox Creek'!$F$2:$F$204,0)),"")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XCO Ohal]:[RD7 XCO O''Halloran]])</f>
        <v>0</v>
      </c>
      <c r="N90" s="59">
        <f>2-COUNTBLANK(Men_5[[#This Row],[RD8 XCO Fox Creek]:[RD9 XCO Willowie]])</f>
        <v>0</v>
      </c>
      <c r="O90" s="59" cm="1">
        <f t="array" ref="O90">IF(Men_5[[#This Row],[Number of Rounds]]&lt;=6,SUM(IF(ISNA(B90:J90),0,B90:J90)),SUM(LARGE(B90:J90,{1,2,3,4,5,6})))</f>
        <v>251.99999999999997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Fox Creek]:[RD9 XCO Willowie]])</f>
        <v>0</v>
      </c>
      <c r="R90" s="59">
        <f>Men_5[[#This Row],[Best 6 of 8 Overall]]+Men_5[[#This Row],[Best 3 of 4 XCM]]+Men_5[[#This Row],[Total of 2 XCO]]</f>
        <v>251.99999999999997</v>
      </c>
      <c r="S90" s="134" cm="1">
        <f t="array" ref="S90">68-SUM(IF(O90&gt;$O$18:$O$212,1/COUNTIF($O$18:$O$212,$O$18:$O$212)))</f>
        <v>59.000000000000028</v>
      </c>
    </row>
    <row r="91" spans="1:19" ht="16" x14ac:dyDescent="0.2">
      <c r="A91" s="103" t="s">
        <v>305</v>
      </c>
      <c r="B91" s="38" t="str">
        <f>_xlfn.IFNA(INDEX('RD1 Eagle'!$I$2:$I$154,MATCH(Men_5[[#This Row],[Rider]],'RD1 Eagle'!$F$2:$F$154,0)),"")</f>
        <v/>
      </c>
      <c r="C91" s="38" t="str">
        <f>_xlfn.IFNA(INDEX('RD2 Shepherds'!$I$2:$I$143,MATCH(Men_5[[#This Row],[Rider]],'RD2 Shepherds'!$F$2:$F$143,0)),"")</f>
        <v/>
      </c>
      <c r="D91" s="38" t="str">
        <f>_xlfn.IFNA(INDEX('RD3 XCO Sheps'!$I$2:$I$190,MATCH(Men_5[[#This Row],[Rider]],'RD3 XCO Sheps'!$F$2:$F$190,0)),"")</f>
        <v/>
      </c>
      <c r="E91" s="38" t="str">
        <f>_xlfn.IFNA(INDEX('RD4 Ohalloran'!$I$2:$I$180,MATCH(Men_5[[#This Row],[Rider]],'RD4 Ohalloran'!$F$2:$F$180,0)),"")</f>
        <v/>
      </c>
      <c r="F91" s="38">
        <f>_xlfn.IFNA(INDEX('RD5 Craigburn'!$I$2:$I$164,MATCH(Men_5[[#This Row],[Rider]],'RD5 Craigburn'!$F$2:$F$164,0)),"")</f>
        <v>250</v>
      </c>
      <c r="G91" s="38" t="str">
        <f>_xlfn.IFNA(INDEX('RD6 Kinchina'!$I$2:$I$200,MATCH(Men_5[[#This Row],[Rider]],'RD6 Kinchina'!$F$2:$F$200,0)),"")</f>
        <v/>
      </c>
      <c r="H91" s="38" t="str">
        <f>_xlfn.IFNA(INDEX('RD7 O''Hallaron'!$I$2:$I$190,MATCH(Men_5[[#This Row],[Rider]],'RD7 O''Hallaron'!$F$2:$F$201,0)),"")</f>
        <v/>
      </c>
      <c r="I91" s="38" t="str">
        <f>_xlfn.IFNA(INDEX('RD8 Fox Creek'!$I$2:$I$204,MATCH(Men_5[[#This Row],[Rider]],'RD8 Fox Creek'!$F$2:$F$204,0)),"")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0</v>
      </c>
      <c r="M91" s="59">
        <f>4-COUNTBLANK(Men_5[[#This Row],[RD4 XCO Ohal]:[RD7 XCO O''Halloran]])</f>
        <v>1</v>
      </c>
      <c r="N91" s="59">
        <f>2-COUNTBLANK(Men_5[[#This Row],[RD8 XCO Fox Creek]:[RD9 XCO Willowie]])</f>
        <v>0</v>
      </c>
      <c r="O91" s="59" cm="1">
        <f t="array" ref="O91">IF(Men_5[[#This Row],[Number of Rounds]]&lt;=6,SUM(IF(ISNA(B91:J91),0,B91:J91)),SUM(LARGE(B91:J91,{1,2,3,4,5,6})))</f>
        <v>250</v>
      </c>
      <c r="P91" s="59" cm="1">
        <f t="array" ref="P91">IF(Men_5[[#This Row],[Number of Rounds XCM]]&lt;=3,SUM(IF(ISNA(E91:H91),0,E91:H91)),SUM(LARGE(E91:H91,{1,2,3})))</f>
        <v>250</v>
      </c>
      <c r="Q91" s="59">
        <f>SUM(Men_5[[#This Row],[RD8 XCO Fox Creek]:[RD9 XCO Willowie]])</f>
        <v>0</v>
      </c>
      <c r="R91" s="59">
        <f>Men_5[[#This Row],[Best 6 of 8 Overall]]+Men_5[[#This Row],[Best 3 of 4 XCM]]+Men_5[[#This Row],[Total of 2 XCO]]</f>
        <v>500</v>
      </c>
      <c r="S91" s="134" cm="1">
        <f t="array" ref="S91">68-SUM(IF(O91&gt;$O$18:$O$212,1/COUNTIF($O$18:$O$212,$O$18:$O$212)))</f>
        <v>60.000000000000028</v>
      </c>
    </row>
    <row r="92" spans="1:19" ht="16" x14ac:dyDescent="0.2">
      <c r="A92" s="103" t="s">
        <v>313</v>
      </c>
      <c r="B92" s="38" t="str">
        <f>_xlfn.IFNA(INDEX('RD1 Eagle'!$I$2:$I$154,MATCH(Men_5[[#This Row],[Rider]],'RD1 Eagle'!$F$2:$F$154,0)),"")</f>
        <v/>
      </c>
      <c r="C92" s="38" t="str">
        <f>_xlfn.IFNA(INDEX('RD2 Shepherds'!$I$2:$I$143,MATCH(Men_5[[#This Row],[Rider]],'RD2 Shepherds'!$F$2:$F$143,0)),"")</f>
        <v/>
      </c>
      <c r="D92" s="38" t="str">
        <f>_xlfn.IFNA(INDEX('RD3 XCO Sheps'!$I$2:$I$190,MATCH(Men_5[[#This Row],[Rider]],'RD3 XCO Sheps'!$F$2:$F$190,0)),"")</f>
        <v/>
      </c>
      <c r="E92" s="38">
        <f>_xlfn.IFNA(INDEX('RD4 Ohalloran'!$I$2:$I$180,MATCH(Men_5[[#This Row],[Rider]],'RD4 Ohalloran'!$F$2:$F$180,0)),"")</f>
        <v>250</v>
      </c>
      <c r="F92" s="38" t="str">
        <f>_xlfn.IFNA(INDEX('RD5 Craigburn'!$I$2:$I$164,MATCH(Men_5[[#This Row],[Rider]],'RD5 Craigburn'!$F$2:$F$164,0)),"")</f>
        <v/>
      </c>
      <c r="G92" s="38" t="str">
        <f>_xlfn.IFNA(INDEX('RD6 Kinchina'!$I$2:$I$200,MATCH(Men_5[[#This Row],[Rider]],'RD6 Kinchina'!$F$2:$F$200,0)),"")</f>
        <v/>
      </c>
      <c r="H92" s="38" t="str">
        <f>_xlfn.IFNA(INDEX('RD7 O''Hallaron'!$I$2:$I$190,MATCH(Men_5[[#This Row],[Rider]],'RD7 O''Hallaron'!$F$2:$F$201,0)),"")</f>
        <v/>
      </c>
      <c r="I92" s="38" t="str">
        <f>_xlfn.IFNA(INDEX('RD8 Fox Creek'!$I$2:$I$204,MATCH(Men_5[[#This Row],[Rider]],'RD8 Fox Creek'!$F$2:$F$204,0)),"")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0</v>
      </c>
      <c r="M92" s="59">
        <f>4-COUNTBLANK(Men_5[[#This Row],[RD4 XCO Ohal]:[RD7 XCO O''Halloran]])</f>
        <v>1</v>
      </c>
      <c r="N92" s="59">
        <f>2-COUNTBLANK(Men_5[[#This Row],[RD8 XCO Fox Creek]:[RD9 XCO Willowie]])</f>
        <v>0</v>
      </c>
      <c r="O92" s="59" cm="1">
        <f t="array" ref="O92">IF(Men_5[[#This Row],[Number of Rounds]]&lt;=6,SUM(IF(ISNA(B92:J92),0,B92:J92)),SUM(LARGE(B92:J92,{1,2,3,4,5,6})))</f>
        <v>250</v>
      </c>
      <c r="P92" s="59" cm="1">
        <f t="array" ref="P92">IF(Men_5[[#This Row],[Number of Rounds XCM]]&lt;=3,SUM(IF(ISNA(E92:H92),0,E92:H92)),SUM(LARGE(E92:H92,{1,2,3})))</f>
        <v>250</v>
      </c>
      <c r="Q92" s="59">
        <f>SUM(Men_5[[#This Row],[RD8 XCO Fox Creek]:[RD9 XCO Willowie]])</f>
        <v>0</v>
      </c>
      <c r="R92" s="59">
        <f>Men_5[[#This Row],[Best 6 of 8 Overall]]+Men_5[[#This Row],[Best 3 of 4 XCM]]+Men_5[[#This Row],[Total of 2 XCO]]</f>
        <v>500</v>
      </c>
      <c r="S92" s="134" cm="1">
        <f t="array" ref="S92">68-SUM(IF(O92&gt;$O$18:$O$212,1/COUNTIF($O$18:$O$212,$O$18:$O$212)))</f>
        <v>60.000000000000028</v>
      </c>
    </row>
    <row r="93" spans="1:19" ht="16" x14ac:dyDescent="0.2">
      <c r="A93" s="103" t="s">
        <v>304</v>
      </c>
      <c r="B93" s="38" t="str">
        <f>_xlfn.IFNA(INDEX('RD1 Eagle'!$I$2:$I$154,MATCH(Men_5[[#This Row],[Rider]],'RD1 Eagle'!$F$2:$F$154,0)),"")</f>
        <v/>
      </c>
      <c r="C93" s="38" t="str">
        <f>_xlfn.IFNA(INDEX('RD2 Shepherds'!$I$2:$I$143,MATCH(Men_5[[#This Row],[Rider]],'RD2 Shepherds'!$F$2:$F$143,0)),"")</f>
        <v/>
      </c>
      <c r="D93" s="38" t="str">
        <f>_xlfn.IFNA(INDEX('RD3 XCO Sheps'!$I$2:$I$190,MATCH(Men_5[[#This Row],[Rider]],'RD3 XCO Sheps'!$F$2:$F$190,0)),"")</f>
        <v/>
      </c>
      <c r="E93" s="38" t="str">
        <f>_xlfn.IFNA(INDEX('RD4 Ohalloran'!$I$2:$I$180,MATCH(Men_5[[#This Row],[Rider]],'RD4 Ohalloran'!$F$2:$F$180,0)),"")</f>
        <v/>
      </c>
      <c r="F93" s="38">
        <f>_xlfn.IFNA(INDEX('RD5 Craigburn'!$I$2:$I$164,MATCH(Men_5[[#This Row],[Rider]],'RD5 Craigburn'!$F$2:$F$164,0)),"")</f>
        <v>250</v>
      </c>
      <c r="G93" s="38" t="str">
        <f>_xlfn.IFNA(INDEX('RD6 Kinchina'!$I$2:$I$200,MATCH(Men_5[[#This Row],[Rider]],'RD6 Kinchina'!$F$2:$F$200,0)),"")</f>
        <v/>
      </c>
      <c r="H93" s="38" t="str">
        <f>_xlfn.IFNA(INDEX('RD7 O''Hallaron'!$I$2:$I$190,MATCH(Men_5[[#This Row],[Rider]],'RD7 O''Hallaron'!$F$2:$F$201,0)),"")</f>
        <v/>
      </c>
      <c r="I93" s="38" t="str">
        <f>_xlfn.IFNA(INDEX('RD8 Fox Creek'!$I$2:$I$204,MATCH(Men_5[[#This Row],[Rider]],'RD8 Fox Creek'!$F$2:$F$204,0)),"")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0</v>
      </c>
      <c r="M93" s="59">
        <f>4-COUNTBLANK(Men_5[[#This Row],[RD4 XCO Ohal]:[RD7 XCO O''Halloran]])</f>
        <v>1</v>
      </c>
      <c r="N93" s="59">
        <f>2-COUNTBLANK(Men_5[[#This Row],[RD8 XCO Fox Creek]:[RD9 XCO Willowie]])</f>
        <v>0</v>
      </c>
      <c r="O93" s="59" cm="1">
        <f t="array" ref="O93">IF(Men_5[[#This Row],[Number of Rounds]]&lt;=6,SUM(IF(ISNA(B93:J93),0,B93:J93)),SUM(LARGE(B93:J93,{1,2,3,4,5,6})))</f>
        <v>250</v>
      </c>
      <c r="P93" s="59" cm="1">
        <f t="array" ref="P93">IF(Men_5[[#This Row],[Number of Rounds XCM]]&lt;=3,SUM(IF(ISNA(E93:H93),0,E93:H93)),SUM(LARGE(E93:H93,{1,2,3})))</f>
        <v>250</v>
      </c>
      <c r="Q93" s="59">
        <f>SUM(Men_5[[#This Row],[RD8 XCO Fox Creek]:[RD9 XCO Willowie]])</f>
        <v>0</v>
      </c>
      <c r="R93" s="59">
        <f>Men_5[[#This Row],[Best 6 of 8 Overall]]+Men_5[[#This Row],[Best 3 of 4 XCM]]+Men_5[[#This Row],[Total of 2 XCO]]</f>
        <v>500</v>
      </c>
      <c r="S93" s="134" cm="1">
        <f t="array" ref="S93">68-SUM(IF(O93&gt;$O$18:$O$212,1/COUNTIF($O$18:$O$212,$O$18:$O$212)))</f>
        <v>60.000000000000028</v>
      </c>
    </row>
    <row r="94" spans="1:19" ht="16" x14ac:dyDescent="0.2">
      <c r="A94" s="103" t="s">
        <v>282</v>
      </c>
      <c r="B94" s="38" t="str">
        <f>_xlfn.IFNA(INDEX('RD1 Eagle'!$I$2:$I$154,MATCH(Men_5[[#This Row],[Rider]],'RD1 Eagle'!$F$2:$F$154,0)),"")</f>
        <v/>
      </c>
      <c r="C94" s="38" t="str">
        <f>_xlfn.IFNA(INDEX('RD2 Shepherds'!$I$2:$I$143,MATCH(Men_5[[#This Row],[Rider]],'RD2 Shepherds'!$F$2:$F$143,0)),"")</f>
        <v/>
      </c>
      <c r="D94" s="38" t="str">
        <f>_xlfn.IFNA(INDEX('RD3 XCO Sheps'!$I$2:$I$190,MATCH(Men_5[[#This Row],[Rider]],'RD3 XCO Sheps'!$F$2:$F$190,0)),"")</f>
        <v/>
      </c>
      <c r="E94" s="38">
        <f>_xlfn.IFNA(INDEX('RD4 Ohalloran'!$I$2:$I$180,MATCH(Men_5[[#This Row],[Rider]],'RD4 Ohalloran'!$F$2:$F$180,0)),"")</f>
        <v>244.99999999999997</v>
      </c>
      <c r="F94" s="38" t="str">
        <f>_xlfn.IFNA(INDEX('RD5 Craigburn'!$I$2:$I$164,MATCH(Men_5[[#This Row],[Rider]],'RD5 Craigburn'!$F$2:$F$164,0)),"")</f>
        <v/>
      </c>
      <c r="G94" s="38" t="str">
        <f>_xlfn.IFNA(INDEX('RD6 Kinchina'!$I$2:$I$200,MATCH(Men_5[[#This Row],[Rider]],'RD6 Kinchina'!$F$2:$F$200,0)),"")</f>
        <v/>
      </c>
      <c r="H94" s="38" t="str">
        <f>_xlfn.IFNA(INDEX('RD7 O''Hallaron'!$I$2:$I$190,MATCH(Men_5[[#This Row],[Rider]],'RD7 O''Hallaron'!$F$2:$F$201,0)),"")</f>
        <v/>
      </c>
      <c r="I94" s="38" t="str">
        <f>_xlfn.IFNA(INDEX('RD8 Fox Creek'!$I$2:$I$204,MATCH(Men_5[[#This Row],[Rider]],'RD8 Fox Creek'!$F$2:$F$204,0)),"")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0</v>
      </c>
      <c r="M94" s="59">
        <f>4-COUNTBLANK(Men_5[[#This Row],[RD4 XCO Ohal]:[RD7 XCO O''Halloran]])</f>
        <v>1</v>
      </c>
      <c r="N94" s="59">
        <f>2-COUNTBLANK(Men_5[[#This Row],[RD8 XCO Fox Creek]:[RD9 XCO Willowie]])</f>
        <v>0</v>
      </c>
      <c r="O94" s="59" cm="1">
        <f t="array" ref="O94">IF(Men_5[[#This Row],[Number of Rounds]]&lt;=6,SUM(IF(ISNA(B94:J94),0,B94:J94)),SUM(LARGE(B94:J94,{1,2,3,4,5,6})))</f>
        <v>244.99999999999997</v>
      </c>
      <c r="P94" s="59" cm="1">
        <f t="array" ref="P94">IF(Men_5[[#This Row],[Number of Rounds XCM]]&lt;=3,SUM(IF(ISNA(E94:H94),0,E94:H94)),SUM(LARGE(E94:H94,{1,2,3})))</f>
        <v>244.99999999999997</v>
      </c>
      <c r="Q94" s="59">
        <f>SUM(Men_5[[#This Row],[RD8 XCO Fox Creek]:[RD9 XCO Willowie]])</f>
        <v>0</v>
      </c>
      <c r="R94" s="59">
        <f>Men_5[[#This Row],[Best 6 of 8 Overall]]+Men_5[[#This Row],[Best 3 of 4 XCM]]+Men_5[[#This Row],[Total of 2 XCO]]</f>
        <v>489.99999999999994</v>
      </c>
      <c r="S94" s="134" cm="1">
        <f t="array" ref="S94">68-SUM(IF(O94&gt;$O$18:$O$212,1/COUNTIF($O$18:$O$212,$O$18:$O$212)))</f>
        <v>61.000000000000028</v>
      </c>
    </row>
    <row r="95" spans="1:19" ht="16" x14ac:dyDescent="0.2">
      <c r="A95" s="103" t="s">
        <v>205</v>
      </c>
      <c r="B95" s="38">
        <f>_xlfn.IFNA(INDEX('RD1 Eagle'!$I$2:$I$154,MATCH(Men_5[[#This Row],[Rider]],'RD1 Eagle'!$F$2:$F$154,0)),"")</f>
        <v>244.99999999999997</v>
      </c>
      <c r="C95" s="38" t="str">
        <f>_xlfn.IFNA(INDEX('RD2 Shepherds'!$I$2:$I$143,MATCH(Men_5[[#This Row],[Rider]],'RD2 Shepherds'!$F$2:$F$143,0)),"")</f>
        <v/>
      </c>
      <c r="D95" s="41" t="str">
        <f>_xlfn.IFNA(INDEX('RD3 XCO Sheps'!$I$2:$I$190,MATCH(Men_5[[#This Row],[Rider]],'RD3 XCO Sheps'!$F$2:$F$190,0)),"")</f>
        <v/>
      </c>
      <c r="E95" s="41" t="str">
        <f>_xlfn.IFNA(INDEX('RD4 Ohalloran'!$I$2:$I$180,MATCH(Men_5[[#This Row],[Rider]],'RD4 Ohalloran'!$F$2:$F$180,0)),"")</f>
        <v/>
      </c>
      <c r="F95" s="38" t="str">
        <f>_xlfn.IFNA(INDEX('RD5 Craigburn'!$I$2:$I$164,MATCH(Men_5[[#This Row],[Rider]],'RD5 Craigburn'!$F$2:$F$164,0)),"")</f>
        <v/>
      </c>
      <c r="G95" s="41" t="str">
        <f>_xlfn.IFNA(INDEX('RD6 Kinchina'!$I$2:$I$200,MATCH(Men_5[[#This Row],[Rider]],'RD6 Kinchina'!$F$2:$F$200,0)),"")</f>
        <v/>
      </c>
      <c r="H95" s="41" t="str">
        <f>_xlfn.IFNA(INDEX('RD7 O''Hallaron'!$I$2:$I$190,MATCH(Men_5[[#This Row],[Rider]],'RD7 O''Hallaron'!$F$2:$F$201,0)),"")</f>
        <v/>
      </c>
      <c r="I95" s="41" t="str">
        <f>_xlfn.IFNA(INDEX('RD8 Fox Creek'!$I$2:$I$204,MATCH(Men_5[[#This Row],[Rider]],'RD8 Fox Creek'!$F$2:$F$204,0)),"")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1</v>
      </c>
      <c r="M95" s="59">
        <f>4-COUNTBLANK(Men_5[[#This Row],[RD4 XCO Ohal]:[RD7 XCO O''Halloran]])</f>
        <v>0</v>
      </c>
      <c r="N95" s="59">
        <f>2-COUNTBLANK(Men_5[[#This Row],[RD8 XCO Fox Creek]:[RD9 XCO Willowie]])</f>
        <v>0</v>
      </c>
      <c r="O95" s="59" cm="1">
        <f t="array" ref="O95">IF(Men_5[[#This Row],[Number of Rounds]]&lt;=6,SUM(IF(ISNA(B95:J95),0,B95:J95)),SUM(LARGE(B95:J95,{1,2,3,4,5,6})))</f>
        <v>244.99999999999997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Fox Creek]:[RD9 XCO Willowie]])</f>
        <v>0</v>
      </c>
      <c r="R95" s="60">
        <f>Men_5[[#This Row],[Best 6 of 8 Overall]]+Men_5[[#This Row],[Best 3 of 4 XCM]]+Men_5[[#This Row],[Total of 2 XCO]]</f>
        <v>244.99999999999997</v>
      </c>
      <c r="S95" s="134" cm="1">
        <f t="array" ref="S95">68-SUM(IF(O95&gt;$O$18:$O$212,1/COUNTIF($O$18:$O$212,$O$18:$O$212)))</f>
        <v>61.000000000000028</v>
      </c>
    </row>
    <row r="96" spans="1:19" ht="16" x14ac:dyDescent="0.2">
      <c r="A96" s="103" t="s">
        <v>285</v>
      </c>
      <c r="B96" s="38" t="str">
        <f>_xlfn.IFNA(INDEX('RD1 Eagle'!$I$2:$I$154,MATCH(Men_5[[#This Row],[Rider]],'RD1 Eagle'!$F$2:$F$154,0)),"")</f>
        <v/>
      </c>
      <c r="C96" s="38" t="str">
        <f>_xlfn.IFNA(INDEX('RD2 Shepherds'!$I$2:$I$143,MATCH(Men_5[[#This Row],[Rider]],'RD2 Shepherds'!$F$2:$F$143,0)),"")</f>
        <v/>
      </c>
      <c r="D96" s="38" t="str">
        <f>_xlfn.IFNA(INDEX('RD3 XCO Sheps'!$I$2:$I$190,MATCH(Men_5[[#This Row],[Rider]],'RD3 XCO Sheps'!$F$2:$F$190,0)),"")</f>
        <v/>
      </c>
      <c r="E96" s="38">
        <f>_xlfn.IFNA(INDEX('RD4 Ohalloran'!$I$2:$I$180,MATCH(Men_5[[#This Row],[Rider]],'RD4 Ohalloran'!$F$2:$F$180,0)),"")</f>
        <v>240</v>
      </c>
      <c r="F96" s="38" t="str">
        <f>_xlfn.IFNA(INDEX('RD5 Craigburn'!$I$2:$I$164,MATCH(Men_5[[#This Row],[Rider]],'RD5 Craigburn'!$F$2:$F$164,0)),"")</f>
        <v/>
      </c>
      <c r="G96" s="38" t="str">
        <f>_xlfn.IFNA(INDEX('RD6 Kinchina'!$I$2:$I$200,MATCH(Men_5[[#This Row],[Rider]],'RD6 Kinchina'!$F$2:$F$200,0)),"")</f>
        <v/>
      </c>
      <c r="H96" s="38" t="str">
        <f>_xlfn.IFNA(INDEX('RD7 O''Hallaron'!$I$2:$I$190,MATCH(Men_5[[#This Row],[Rider]],'RD7 O''Hallaron'!$F$2:$F$201,0)),"")</f>
        <v/>
      </c>
      <c r="I96" s="38" t="str">
        <f>_xlfn.IFNA(INDEX('RD8 Fox Creek'!$I$2:$I$204,MATCH(Men_5[[#This Row],[Rider]],'RD8 Fox Creek'!$F$2:$F$204,0)),"")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0</v>
      </c>
      <c r="M96" s="59">
        <f>4-COUNTBLANK(Men_5[[#This Row],[RD4 XCO Ohal]:[RD7 XCO O''Halloran]])</f>
        <v>1</v>
      </c>
      <c r="N96" s="59">
        <f>2-COUNTBLANK(Men_5[[#This Row],[RD8 XCO Fox Creek]:[RD9 XCO Willowie]])</f>
        <v>0</v>
      </c>
      <c r="O96" s="59" cm="1">
        <f t="array" ref="O96">IF(Men_5[[#This Row],[Number of Rounds]]&lt;=6,SUM(IF(ISNA(B96:J96),0,B96:J96)),SUM(LARGE(B96:J96,{1,2,3,4,5,6})))</f>
        <v>240</v>
      </c>
      <c r="P96" s="59" cm="1">
        <f t="array" ref="P96">IF(Men_5[[#This Row],[Number of Rounds XCM]]&lt;=3,SUM(IF(ISNA(E96:H96),0,E96:H96)),SUM(LARGE(E96:H96,{1,2,3})))</f>
        <v>240</v>
      </c>
      <c r="Q96" s="59">
        <f>SUM(Men_5[[#This Row],[RD8 XCO Fox Creek]:[RD9 XCO Willowie]])</f>
        <v>0</v>
      </c>
      <c r="R96" s="59">
        <f>Men_5[[#This Row],[Best 6 of 8 Overall]]+Men_5[[#This Row],[Best 3 of 4 XCM]]+Men_5[[#This Row],[Total of 2 XCO]]</f>
        <v>480</v>
      </c>
      <c r="S96" s="134" cm="1">
        <f t="array" ref="S96">68-SUM(IF(O96&gt;$O$18:$O$212,1/COUNTIF($O$18:$O$212,$O$18:$O$212)))</f>
        <v>62.000000000000028</v>
      </c>
    </row>
    <row r="97" spans="1:19" ht="16" x14ac:dyDescent="0.2">
      <c r="A97" s="103" t="s">
        <v>242</v>
      </c>
      <c r="B97" s="38" t="str">
        <f>_xlfn.IFNA(INDEX('RD1 Eagle'!$I$2:$I$154,MATCH(Men_5[[#This Row],[Rider]],'RD1 Eagle'!$F$2:$F$154,0)),"")</f>
        <v/>
      </c>
      <c r="C97" s="38">
        <f>_xlfn.IFNA(INDEX('RD2 Shepherds'!$I$2:$I$143,MATCH(Men_5[[#This Row],[Rider]],'RD2 Shepherds'!$F$2:$F$143,0)),"")</f>
        <v>240</v>
      </c>
      <c r="D97" s="38" t="str">
        <f>_xlfn.IFNA(INDEX('RD3 XCO Sheps'!$I$2:$I$190,MATCH(Men_5[[#This Row],[Rider]],'RD3 XCO Sheps'!$F$2:$F$190,0)),"")</f>
        <v/>
      </c>
      <c r="E97" s="38" t="str">
        <f>_xlfn.IFNA(INDEX('RD4 Ohalloran'!$I$2:$I$180,MATCH(Men_5[[#This Row],[Rider]],'RD4 Ohalloran'!$F$2:$F$180,0)),"")</f>
        <v/>
      </c>
      <c r="F97" s="38" t="str">
        <f>_xlfn.IFNA(INDEX('RD5 Craigburn'!$I$2:$I$164,MATCH(Men_5[[#This Row],[Rider]],'RD5 Craigburn'!$F$2:$F$164,0)),"")</f>
        <v/>
      </c>
      <c r="G97" s="38" t="str">
        <f>_xlfn.IFNA(INDEX('RD6 Kinchina'!$I$2:$I$200,MATCH(Men_5[[#This Row],[Rider]],'RD6 Kinchina'!$F$2:$F$200,0)),"")</f>
        <v/>
      </c>
      <c r="H97" s="38" t="str">
        <f>_xlfn.IFNA(INDEX('RD7 O''Hallaron'!$I$2:$I$190,MATCH(Men_5[[#This Row],[Rider]],'RD7 O''Hallaron'!$F$2:$F$201,0)),"")</f>
        <v/>
      </c>
      <c r="I97" s="38" t="str">
        <f>_xlfn.IFNA(INDEX('RD8 Fox Creek'!$I$2:$I$204,MATCH(Men_5[[#This Row],[Rider]],'RD8 Fox Creek'!$F$2:$F$204,0)),"")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1</v>
      </c>
      <c r="M97" s="59">
        <f>4-COUNTBLANK(Men_5[[#This Row],[RD4 XCO Ohal]:[RD7 XCO O''Halloran]])</f>
        <v>0</v>
      </c>
      <c r="N97" s="59">
        <f>2-COUNTBLANK(Men_5[[#This Row],[RD8 XCO Fox Creek]:[RD9 XCO Willowie]])</f>
        <v>0</v>
      </c>
      <c r="O97" s="59" cm="1">
        <f t="array" ref="O97">IF(Men_5[[#This Row],[Number of Rounds]]&lt;=6,SUM(IF(ISNA(B97:J97),0,B97:J97)),SUM(LARGE(B97:J97,{1,2,3,4,5,6})))</f>
        <v>240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Fox Creek]:[RD9 XCO Willowie]])</f>
        <v>0</v>
      </c>
      <c r="R97" s="59">
        <f>Men_5[[#This Row],[Best 6 of 8 Overall]]+Men_5[[#This Row],[Best 3 of 4 XCM]]+Men_5[[#This Row],[Total of 2 XCO]]</f>
        <v>240</v>
      </c>
      <c r="S97" s="134" cm="1">
        <f t="array" ref="S97">68-SUM(IF(O97&gt;$O$18:$O$212,1/COUNTIF($O$18:$O$212,$O$18:$O$212)))</f>
        <v>62.000000000000028</v>
      </c>
    </row>
    <row r="98" spans="1:19" ht="16" x14ac:dyDescent="0.2">
      <c r="A98" s="103" t="s">
        <v>184</v>
      </c>
      <c r="B98" s="38">
        <f>_xlfn.IFNA(INDEX('RD1 Eagle'!$I$2:$I$154,MATCH(Men_5[[#This Row],[Rider]],'RD1 Eagle'!$F$2:$F$154,0)),"")</f>
        <v>228</v>
      </c>
      <c r="C98" s="38" t="str">
        <f>_xlfn.IFNA(INDEX('RD2 Shepherds'!$I$2:$I$143,MATCH(Men_5[[#This Row],[Rider]],'RD2 Shepherds'!$F$2:$F$143,0)),"")</f>
        <v/>
      </c>
      <c r="D98" s="38" t="str">
        <f>_xlfn.IFNA(INDEX('RD3 XCO Sheps'!$I$2:$I$190,MATCH(Men_5[[#This Row],[Rider]],'RD3 XCO Sheps'!$F$2:$F$190,0)),"")</f>
        <v/>
      </c>
      <c r="E98" s="38" t="str">
        <f>_xlfn.IFNA(INDEX('RD4 Ohalloran'!$I$2:$I$180,MATCH(Men_5[[#This Row],[Rider]],'RD4 Ohalloran'!$F$2:$F$180,0)),"")</f>
        <v/>
      </c>
      <c r="F98" s="38" t="str">
        <f>_xlfn.IFNA(INDEX('RD5 Craigburn'!$I$2:$I$164,MATCH(Men_5[[#This Row],[Rider]],'RD5 Craigburn'!$F$2:$F$164,0)),"")</f>
        <v/>
      </c>
      <c r="G98" s="38" t="str">
        <f>_xlfn.IFNA(INDEX('RD6 Kinchina'!$I$2:$I$200,MATCH(Men_5[[#This Row],[Rider]],'RD6 Kinchina'!$F$2:$F$200,0)),"")</f>
        <v/>
      </c>
      <c r="H98" s="38" t="str">
        <f>_xlfn.IFNA(INDEX('RD7 O''Hallaron'!$I$2:$I$190,MATCH(Men_5[[#This Row],[Rider]],'RD7 O''Hallaron'!$F$2:$F$201,0)),"")</f>
        <v/>
      </c>
      <c r="I98" s="38" t="str">
        <f>_xlfn.IFNA(INDEX('RD8 Fox Creek'!$I$2:$I$204,MATCH(Men_5[[#This Row],[Rider]],'RD8 Fox Creek'!$F$2:$F$204,0)),"")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1</v>
      </c>
      <c r="M98" s="59">
        <f>4-COUNTBLANK(Men_5[[#This Row],[RD4 XCO Ohal]:[RD7 XCO O''Halloran]])</f>
        <v>0</v>
      </c>
      <c r="N98" s="59">
        <f>2-COUNTBLANK(Men_5[[#This Row],[RD8 XCO Fox Creek]:[RD9 XCO Willowie]])</f>
        <v>0</v>
      </c>
      <c r="O98" s="59" cm="1">
        <f t="array" ref="O98">IF(Men_5[[#This Row],[Number of Rounds]]&lt;=6,SUM(IF(ISNA(B98:J98),0,B98:J98)),SUM(LARGE(B98:J98,{1,2,3,4,5,6})))</f>
        <v>228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Fox Creek]:[RD9 XCO Willowie]])</f>
        <v>0</v>
      </c>
      <c r="R98" s="59">
        <f>Men_5[[#This Row],[Best 6 of 8 Overall]]+Men_5[[#This Row],[Best 3 of 4 XCM]]+Men_5[[#This Row],[Total of 2 XCO]]</f>
        <v>228</v>
      </c>
      <c r="S98" s="134" cm="1">
        <f t="array" ref="S98">68-SUM(IF(O98&gt;$O$18:$O$212,1/COUNTIF($O$18:$O$212,$O$18:$O$212)))</f>
        <v>63.000000000000028</v>
      </c>
    </row>
    <row r="99" spans="1:19" ht="16" x14ac:dyDescent="0.2">
      <c r="A99" s="103" t="s">
        <v>306</v>
      </c>
      <c r="B99" s="38" t="str">
        <f>_xlfn.IFNA(INDEX('RD1 Eagle'!$I$2:$I$154,MATCH(Men_5[[#This Row],[Rider]],'RD1 Eagle'!$F$2:$F$154,0)),"")</f>
        <v/>
      </c>
      <c r="C99" s="38" t="str">
        <f>_xlfn.IFNA(INDEX('RD2 Shepherds'!$I$2:$I$143,MATCH(Men_5[[#This Row],[Rider]],'RD2 Shepherds'!$F$2:$F$143,0)),"")</f>
        <v/>
      </c>
      <c r="D99" s="38" t="str">
        <f>_xlfn.IFNA(INDEX('RD3 XCO Sheps'!$I$2:$I$190,MATCH(Men_5[[#This Row],[Rider]],'RD3 XCO Sheps'!$F$2:$F$190,0)),"")</f>
        <v/>
      </c>
      <c r="E99" s="38" t="str">
        <f>_xlfn.IFNA(INDEX('RD4 Ohalloran'!$I$2:$I$180,MATCH(Men_5[[#This Row],[Rider]],'RD4 Ohalloran'!$F$2:$F$180,0)),"")</f>
        <v/>
      </c>
      <c r="F99" s="38">
        <f>_xlfn.IFNA(INDEX('RD5 Craigburn'!$I$2:$I$164,MATCH(Men_5[[#This Row],[Rider]],'RD5 Craigburn'!$F$2:$F$164,0)),"")</f>
        <v>225</v>
      </c>
      <c r="G99" s="38" t="str">
        <f>_xlfn.IFNA(INDEX('RD6 Kinchina'!$I$2:$I$200,MATCH(Men_5[[#This Row],[Rider]],'RD6 Kinchina'!$F$2:$F$200,0)),"")</f>
        <v/>
      </c>
      <c r="H99" s="38" t="str">
        <f>_xlfn.IFNA(INDEX('RD7 O''Hallaron'!$I$2:$I$190,MATCH(Men_5[[#This Row],[Rider]],'RD7 O''Hallaron'!$F$2:$F$201,0)),"")</f>
        <v/>
      </c>
      <c r="I99" s="38" t="str">
        <f>_xlfn.IFNA(INDEX('RD8 Fox Creek'!$I$2:$I$204,MATCH(Men_5[[#This Row],[Rider]],'RD8 Fox Creek'!$F$2:$F$204,0)),"")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0</v>
      </c>
      <c r="M99" s="59">
        <f>4-COUNTBLANK(Men_5[[#This Row],[RD4 XCO Ohal]:[RD7 XCO O''Halloran]])</f>
        <v>1</v>
      </c>
      <c r="N99" s="59">
        <f>2-COUNTBLANK(Men_5[[#This Row],[RD8 XCO Fox Creek]:[RD9 XCO Willowie]])</f>
        <v>0</v>
      </c>
      <c r="O99" s="59" cm="1">
        <f t="array" ref="O99">IF(Men_5[[#This Row],[Number of Rounds]]&lt;=6,SUM(IF(ISNA(B99:J99),0,B99:J99)),SUM(LARGE(B99:J99,{1,2,3,4,5,6})))</f>
        <v>225</v>
      </c>
      <c r="P99" s="59" cm="1">
        <f t="array" ref="P99">IF(Men_5[[#This Row],[Number of Rounds XCM]]&lt;=3,SUM(IF(ISNA(E99:H99),0,E99:H99)),SUM(LARGE(E99:H99,{1,2,3})))</f>
        <v>225</v>
      </c>
      <c r="Q99" s="59">
        <f>SUM(Men_5[[#This Row],[RD8 XCO Fox Creek]:[RD9 XCO Willowie]])</f>
        <v>0</v>
      </c>
      <c r="R99" s="59">
        <f>Men_5[[#This Row],[Best 6 of 8 Overall]]+Men_5[[#This Row],[Best 3 of 4 XCM]]+Men_5[[#This Row],[Total of 2 XCO]]</f>
        <v>450</v>
      </c>
      <c r="S99" s="134" cm="1">
        <f t="array" ref="S99">68-SUM(IF(O99&gt;$O$18:$O$212,1/COUNTIF($O$18:$O$212,$O$18:$O$212)))</f>
        <v>63.999999999999986</v>
      </c>
    </row>
    <row r="100" spans="1:19" ht="16" x14ac:dyDescent="0.2">
      <c r="A100" s="103" t="s">
        <v>307</v>
      </c>
      <c r="B100" s="38" t="str">
        <f>_xlfn.IFNA(INDEX('RD1 Eagle'!$I$2:$I$154,MATCH(Men_5[[#This Row],[Rider]],'RD1 Eagle'!$F$2:$F$154,0)),"")</f>
        <v/>
      </c>
      <c r="C100" s="38" t="str">
        <f>_xlfn.IFNA(INDEX('RD2 Shepherds'!$I$2:$I$143,MATCH(Men_5[[#This Row],[Rider]],'RD2 Shepherds'!$F$2:$F$143,0)),"")</f>
        <v/>
      </c>
      <c r="D100" s="38" t="str">
        <f>_xlfn.IFNA(INDEX('RD3 XCO Sheps'!$I$2:$I$190,MATCH(Men_5[[#This Row],[Rider]],'RD3 XCO Sheps'!$F$2:$F$190,0)),"")</f>
        <v/>
      </c>
      <c r="E100" s="38" t="str">
        <f>_xlfn.IFNA(INDEX('RD4 Ohalloran'!$I$2:$I$180,MATCH(Men_5[[#This Row],[Rider]],'RD4 Ohalloran'!$F$2:$F$180,0)),"")</f>
        <v/>
      </c>
      <c r="F100" s="38">
        <f>_xlfn.IFNA(INDEX('RD5 Craigburn'!$I$2:$I$164,MATCH(Men_5[[#This Row],[Rider]],'RD5 Craigburn'!$F$2:$F$164,0)),"")</f>
        <v>225</v>
      </c>
      <c r="G100" s="38" t="str">
        <f>_xlfn.IFNA(INDEX('RD6 Kinchina'!$I$2:$I$200,MATCH(Men_5[[#This Row],[Rider]],'RD6 Kinchina'!$F$2:$F$200,0)),"")</f>
        <v/>
      </c>
      <c r="H100" s="38" t="str">
        <f>_xlfn.IFNA(INDEX('RD7 O''Hallaron'!$I$2:$I$190,MATCH(Men_5[[#This Row],[Rider]],'RD7 O''Hallaron'!$F$2:$F$201,0)),"")</f>
        <v/>
      </c>
      <c r="I100" s="38" t="str">
        <f>_xlfn.IFNA(INDEX('RD8 Fox Creek'!$I$2:$I$204,MATCH(Men_5[[#This Row],[Rider]],'RD8 Fox Creek'!$F$2:$F$204,0)),"")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0</v>
      </c>
      <c r="M100" s="59">
        <f>4-COUNTBLANK(Men_5[[#This Row],[RD4 XCO Ohal]:[RD7 XCO O''Halloran]])</f>
        <v>1</v>
      </c>
      <c r="N100" s="59">
        <f>2-COUNTBLANK(Men_5[[#This Row],[RD8 XCO Fox Creek]:[RD9 XCO Willowie]])</f>
        <v>0</v>
      </c>
      <c r="O100" s="59" cm="1">
        <f t="array" ref="O100">IF(Men_5[[#This Row],[Number of Rounds]]&lt;=6,SUM(IF(ISNA(B100:J100),0,B100:J100)),SUM(LARGE(B100:J100,{1,2,3,4,5,6})))</f>
        <v>225</v>
      </c>
      <c r="P100" s="59" cm="1">
        <f t="array" ref="P100">IF(Men_5[[#This Row],[Number of Rounds XCM]]&lt;=3,SUM(IF(ISNA(E100:H100),0,E100:H100)),SUM(LARGE(E100:H100,{1,2,3})))</f>
        <v>225</v>
      </c>
      <c r="Q100" s="59">
        <f>SUM(Men_5[[#This Row],[RD8 XCO Fox Creek]:[RD9 XCO Willowie]])</f>
        <v>0</v>
      </c>
      <c r="R100" s="59">
        <f>Men_5[[#This Row],[Best 6 of 8 Overall]]+Men_5[[#This Row],[Best 3 of 4 XCM]]+Men_5[[#This Row],[Total of 2 XCO]]</f>
        <v>450</v>
      </c>
      <c r="S100" s="134" cm="1">
        <f t="array" ref="S100">68-SUM(IF(O100&gt;$O$18:$O$212,1/COUNTIF($O$18:$O$212,$O$18:$O$212)))</f>
        <v>63.999999999999986</v>
      </c>
    </row>
    <row r="101" spans="1:19" ht="16" x14ac:dyDescent="0.2">
      <c r="A101" s="140" t="s">
        <v>287</v>
      </c>
      <c r="B101" s="41" t="str">
        <f>_xlfn.IFNA(INDEX('RD1 Eagle'!$I$2:$I$154,MATCH(Men_5[[#This Row],[Rider]],'RD1 Eagle'!$F$2:$F$154,0)),"")</f>
        <v/>
      </c>
      <c r="C101" s="41" t="str">
        <f>_xlfn.IFNA(INDEX('RD2 Shepherds'!$I$2:$I$143,MATCH(Men_5[[#This Row],[Rider]],'RD2 Shepherds'!$F$2:$F$143,0)),"")</f>
        <v/>
      </c>
      <c r="D101" s="41" t="str">
        <f>_xlfn.IFNA(INDEX('RD3 XCO Sheps'!$I$2:$I$190,MATCH(Men_5[[#This Row],[Rider]],'RD3 XCO Sheps'!$F$2:$F$190,0)),"")</f>
        <v/>
      </c>
      <c r="E101" s="41">
        <f>_xlfn.IFNA(INDEX('RD4 Ohalloran'!$I$2:$I$180,MATCH(Men_5[[#This Row],[Rider]],'RD4 Ohalloran'!$F$2:$F$180,0)),"")</f>
        <v>222</v>
      </c>
      <c r="F101" s="41" t="str">
        <f>_xlfn.IFNA(INDEX('RD5 Craigburn'!$I$2:$I$164,MATCH(Men_5[[#This Row],[Rider]],'RD5 Craigburn'!$F$2:$F$164,0)),"")</f>
        <v/>
      </c>
      <c r="G101" s="41" t="str">
        <f>_xlfn.IFNA(INDEX('RD6 Kinchina'!$I$2:$I$200,MATCH(Men_5[[#This Row],[Rider]],'RD6 Kinchina'!$F$2:$F$200,0)),"")</f>
        <v/>
      </c>
      <c r="H101" s="41" t="str">
        <f>_xlfn.IFNA(INDEX('RD7 O''Hallaron'!$I$2:$I$190,MATCH(Men_5[[#This Row],[Rider]],'RD7 O''Hallaron'!$F$2:$F$201,0)),"")</f>
        <v/>
      </c>
      <c r="I101" s="38" t="str">
        <f>_xlfn.IFNA(INDEX('RD8 Fox Creek'!$I$2:$I$204,MATCH(Men_5[[#This Row],[Rider]],'RD8 Fox Creek'!$F$2:$F$204,0)),"")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0</v>
      </c>
      <c r="M101" s="59">
        <f>4-COUNTBLANK(Men_5[[#This Row],[RD4 XCO Ohal]:[RD7 XCO O''Halloran]])</f>
        <v>1</v>
      </c>
      <c r="N101" s="59">
        <f>2-COUNTBLANK(Men_5[[#This Row],[RD8 XCO Fox Creek]:[RD9 XCO Willowie]])</f>
        <v>0</v>
      </c>
      <c r="O101" s="59" cm="1">
        <f t="array" ref="O101">IF(Men_5[[#This Row],[Number of Rounds]]&lt;=6,SUM(IF(ISNA(B101:J101),0,B101:J101)),SUM(LARGE(B101:J101,{1,2,3,4,5,6})))</f>
        <v>222</v>
      </c>
      <c r="P101" s="59" cm="1">
        <f t="array" ref="P101">IF(Men_5[[#This Row],[Number of Rounds XCM]]&lt;=3,SUM(IF(ISNA(E101:H101),0,E101:H101)),SUM(LARGE(E101:H101,{1,2,3})))</f>
        <v>222</v>
      </c>
      <c r="Q101" s="59">
        <f>SUM(Men_5[[#This Row],[RD8 XCO Fox Creek]:[RD9 XCO Willowie]])</f>
        <v>0</v>
      </c>
      <c r="R101" s="59">
        <f>Men_5[[#This Row],[Best 6 of 8 Overall]]+Men_5[[#This Row],[Best 3 of 4 XCM]]+Men_5[[#This Row],[Total of 2 XCO]]</f>
        <v>444</v>
      </c>
      <c r="S101" s="134" cm="1">
        <f t="array" ref="S101">68-SUM(IF(O101&gt;$O$18:$O$212,1/COUNTIF($O$18:$O$212,$O$18:$O$212)))</f>
        <v>64.999999999999986</v>
      </c>
    </row>
    <row r="102" spans="1:19" ht="16" x14ac:dyDescent="0.2">
      <c r="A102" s="103" t="s">
        <v>210</v>
      </c>
      <c r="B102" s="38">
        <f>_xlfn.IFNA(INDEX('RD1 Eagle'!$I$2:$I$154,MATCH(Men_5[[#This Row],[Rider]],'RD1 Eagle'!$F$2:$F$154,0)),"")</f>
        <v>216</v>
      </c>
      <c r="C102" s="38" t="str">
        <f>_xlfn.IFNA(INDEX('RD2 Shepherds'!$I$2:$I$143,MATCH(Men_5[[#This Row],[Rider]],'RD2 Shepherds'!$F$2:$F$143,0)),"")</f>
        <v/>
      </c>
      <c r="D102" s="38" t="str">
        <f>_xlfn.IFNA(INDEX('RD3 XCO Sheps'!$I$2:$I$190,MATCH(Men_5[[#This Row],[Rider]],'RD3 XCO Sheps'!$F$2:$F$190,0)),"")</f>
        <v/>
      </c>
      <c r="E102" s="38" t="str">
        <f>_xlfn.IFNA(INDEX('RD4 Ohalloran'!$I$2:$I$180,MATCH(Men_5[[#This Row],[Rider]],'RD4 Ohalloran'!$F$2:$F$180,0)),"")</f>
        <v/>
      </c>
      <c r="F102" s="38" t="str">
        <f>_xlfn.IFNA(INDEX('RD5 Craigburn'!$I$2:$I$164,MATCH(Men_5[[#This Row],[Rider]],'RD5 Craigburn'!$F$2:$F$164,0)),"")</f>
        <v/>
      </c>
      <c r="G102" s="38" t="str">
        <f>_xlfn.IFNA(INDEX('RD6 Kinchina'!$I$2:$I$200,MATCH(Men_5[[#This Row],[Rider]],'RD6 Kinchina'!$F$2:$F$200,0)),"")</f>
        <v/>
      </c>
      <c r="H102" s="38" t="str">
        <f>_xlfn.IFNA(INDEX('RD7 O''Hallaron'!$I$2:$I$190,MATCH(Men_5[[#This Row],[Rider]],'RD7 O''Hallaron'!$F$2:$F$201,0)),"")</f>
        <v/>
      </c>
      <c r="I102" s="38" t="str">
        <f>_xlfn.IFNA(INDEX('RD8 Fox Creek'!$I$2:$I$204,MATCH(Men_5[[#This Row],[Rider]],'RD8 Fox Creek'!$F$2:$F$204,0)),"")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1</v>
      </c>
      <c r="M102" s="59">
        <f>4-COUNTBLANK(Men_5[[#This Row],[RD4 XCO Ohal]:[RD7 XCO O''Halloran]])</f>
        <v>0</v>
      </c>
      <c r="N102" s="59">
        <f>2-COUNTBLANK(Men_5[[#This Row],[RD8 XCO Fox Creek]:[RD9 XCO Willowie]])</f>
        <v>0</v>
      </c>
      <c r="O102" s="59" cm="1">
        <f t="array" ref="O102">IF(Men_5[[#This Row],[Number of Rounds]]&lt;=6,SUM(IF(ISNA(B102:J102),0,B102:J102)),SUM(LARGE(B102:J102,{1,2,3,4,5,6})))</f>
        <v>216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Fox Creek]:[RD9 XCO Willowie]])</f>
        <v>0</v>
      </c>
      <c r="R102" s="59">
        <f>Men_5[[#This Row],[Best 6 of 8 Overall]]+Men_5[[#This Row],[Best 3 of 4 XCM]]+Men_5[[#This Row],[Total of 2 XCO]]</f>
        <v>216</v>
      </c>
      <c r="S102" s="134" cm="1">
        <f t="array" ref="S102">68-SUM(IF(O102&gt;$O$18:$O$212,1/COUNTIF($O$18:$O$212,$O$18:$O$212)))</f>
        <v>66</v>
      </c>
    </row>
    <row r="103" spans="1:19" ht="17" thickBot="1" x14ac:dyDescent="0.25">
      <c r="A103" s="103" t="s">
        <v>240</v>
      </c>
      <c r="B103" s="38" t="str">
        <f>_xlfn.IFNA(INDEX('RD1 Eagle'!$I$2:$I$154,MATCH(Men_5[[#This Row],[Rider]],'RD1 Eagle'!$F$2:$F$154,0)),"")</f>
        <v/>
      </c>
      <c r="C103" s="38">
        <f>_xlfn.IFNA(INDEX('RD2 Shepherds'!$I$2:$I$143,MATCH(Men_5[[#This Row],[Rider]],'RD2 Shepherds'!$F$2:$F$143,0)),"")</f>
        <v>182</v>
      </c>
      <c r="D103" s="38" t="str">
        <f>_xlfn.IFNA(INDEX('RD3 XCO Sheps'!$I$2:$I$190,MATCH(Men_5[[#This Row],[Rider]],'RD3 XCO Sheps'!$F$2:$F$190,0)),"")</f>
        <v/>
      </c>
      <c r="E103" s="38" t="str">
        <f>_xlfn.IFNA(INDEX('RD4 Ohalloran'!$I$2:$I$180,MATCH(Men_5[[#This Row],[Rider]],'RD4 Ohalloran'!$F$2:$F$180,0)),"")</f>
        <v/>
      </c>
      <c r="F103" s="38" t="str">
        <f>_xlfn.IFNA(INDEX('RD5 Craigburn'!$I$2:$I$164,MATCH(Men_5[[#This Row],[Rider]],'RD5 Craigburn'!$F$2:$F$164,0)),"")</f>
        <v/>
      </c>
      <c r="G103" s="38" t="str">
        <f>_xlfn.IFNA(INDEX('RD6 Kinchina'!$I$2:$I$200,MATCH(Men_5[[#This Row],[Rider]],'RD6 Kinchina'!$F$2:$F$200,0)),"")</f>
        <v/>
      </c>
      <c r="H103" s="38" t="str">
        <f>_xlfn.IFNA(INDEX('RD7 O''Hallaron'!$I$2:$I$190,MATCH(Men_5[[#This Row],[Rider]],'RD7 O''Hallaron'!$F$2:$F$201,0)),"")</f>
        <v/>
      </c>
      <c r="I103" s="168" t="str">
        <f>_xlfn.IFNA(INDEX('RD8 Fox Creek'!$I$2:$I$204,MATCH(Men_5[[#This Row],[Rider]],'RD8 Fox Creek'!$F$2:$F$204,0)),"")</f>
        <v/>
      </c>
      <c r="J103" s="168" t="str">
        <f>_xlfn.IFNA(INDEX('RD9 XCM Melrose W'!$I$2:$I$194,MATCH(Men_5[[#This Row],[Rider]],'RD9 XCM Melrose W'!$F$2:$F$194,0)),"")</f>
        <v/>
      </c>
      <c r="K103" s="168">
        <f>9-COUNTBLANK(Men_5[[#This Row],[RD1 XCC Eagle]:[RD9 XCO Willowie]])</f>
        <v>1</v>
      </c>
      <c r="L103" s="169">
        <f>3-COUNTBLANK(Men_5[[#This Row],[RD1 XCC Eagle]:[RD3 XCO Sheps]])</f>
        <v>1</v>
      </c>
      <c r="M103" s="169">
        <f>4-COUNTBLANK(Men_5[[#This Row],[RD4 XCO Ohal]:[RD7 XCO O''Halloran]])</f>
        <v>0</v>
      </c>
      <c r="N103" s="169">
        <f>2-COUNTBLANK(Men_5[[#This Row],[RD8 XCO Fox Creek]:[RD9 XCO Willowie]])</f>
        <v>0</v>
      </c>
      <c r="O103" s="168" cm="1">
        <f t="array" ref="O103">IF(Men_5[[#This Row],[Number of Rounds]]&lt;=6,SUM(IF(ISNA(B103:J103),0,B103:J103)),SUM(LARGE(B103:J103,{1,2,3,4,5,6})))</f>
        <v>182</v>
      </c>
      <c r="P103" s="59" cm="1">
        <f t="array" ref="P103">IF(Men_5[[#This Row],[Number of Rounds XCM]]&lt;=3,SUM(IF(ISNA(E103:H103),0,E103:H103)),SUM(LARGE(E103:H103,{1,2,3})))</f>
        <v>0</v>
      </c>
      <c r="Q103" s="59">
        <f>SUM(Men_5[[#This Row],[RD8 XCO Fox Creek]:[RD9 XCO Willowie]])</f>
        <v>0</v>
      </c>
      <c r="R103" s="59">
        <f>Men_5[[#This Row],[Best 6 of 8 Overall]]+Men_5[[#This Row],[Best 3 of 4 XCM]]+Men_5[[#This Row],[Total of 2 XCO]]</f>
        <v>182</v>
      </c>
      <c r="S103" s="171" cm="1">
        <f t="array" ref="S103">68-SUM(IF(O103&gt;$O$18:$O$212,1/COUNTIF($O$18:$O$212,$O$18:$O$212)))</f>
        <v>67</v>
      </c>
    </row>
    <row r="104" spans="1:19" ht="16" hidden="1" x14ac:dyDescent="0.2">
      <c r="A104" s="164"/>
      <c r="B104" s="165" t="str">
        <f>_xlfn.IFNA(INDEX('RD1 Eagle'!$I$2:$I$154,MATCH(Men_5[[#This Row],[Rider]],'RD1 Eagle'!$F$2:$F$154,0)),"")</f>
        <v/>
      </c>
      <c r="C104" s="165" t="str">
        <f>_xlfn.IFNA(INDEX('RD2 Shepherds'!$I$2:$I$143,MATCH(Men_5[[#This Row],[Rider]],'RD2 Shepherds'!$F$2:$F$143,0)),"")</f>
        <v/>
      </c>
      <c r="D104" s="165" t="str">
        <f>_xlfn.IFNA(INDEX('RD3 XCO Sheps'!$I$2:$I$190,MATCH(Men_5[[#This Row],[Rider]],'RD3 XCO Sheps'!$F$2:$F$190,0)),"")</f>
        <v/>
      </c>
      <c r="E104" s="165" t="str">
        <f>_xlfn.IFNA(INDEX('RD4 Ohalloran'!$I$2:$I$180,MATCH(Men_5[[#This Row],[Rider]],'RD4 Ohalloran'!$F$2:$F$180,0)),"")</f>
        <v/>
      </c>
      <c r="F104" s="165" t="str">
        <f>_xlfn.IFNA(INDEX('RD5 Craigburn'!$I$2:$I$164,MATCH(Men_5[[#This Row],[Rider]],'RD5 Craigburn'!$F$2:$F$164,0)),"")</f>
        <v/>
      </c>
      <c r="G104" s="165" t="str">
        <f>_xlfn.IFNA(INDEX('RD6 Kinchina'!$I$2:$I$200,MATCH(Men_5[[#This Row],[Rider]],'RD6 Kinchina'!$F$2:$F$200,0)),"")</f>
        <v/>
      </c>
      <c r="H104" s="38" t="str">
        <f>_xlfn.IFNA(INDEX('RD7 O''Hallaron'!$I$2:$I$190,MATCH(Men_5[[#This Row],[Rider]],'RD7 O''Hallaron'!$F$2:$F$201,0)),"")</f>
        <v/>
      </c>
      <c r="I104" s="167" t="str">
        <f>_xlfn.IFNA(INDEX('RD8 Fox Creek'!$I$2:$I$204,MATCH(Men_5[[#This Row],[Rider]],'RD8 Fox Creek'!$F$2:$F$204,0)),"")</f>
        <v/>
      </c>
      <c r="J104" s="120" t="str">
        <f>_xlfn.IFNA(INDEX('RD9 XCM Melrose W'!$I$2:$I$194,MATCH(Men_5[[#This Row],[Rider]],'RD9 XCM Melrose W'!$F$2:$F$194,0)),"")</f>
        <v/>
      </c>
      <c r="K104" s="167">
        <f>9-COUNTBLANK(Men_5[[#This Row],[RD1 XCC Eagle]:[RD9 XCO Willowie]])</f>
        <v>0</v>
      </c>
      <c r="L104" s="121">
        <f>3-COUNTBLANK(Men_5[[#This Row],[RD1 XCC Eagle]:[RD3 XCO Sheps]])</f>
        <v>0</v>
      </c>
      <c r="M104" s="121">
        <f>4-COUNTBLANK(Men_5[[#This Row],[RD4 XCO Ohal]:[RD7 XCO O''Halloran]])</f>
        <v>0</v>
      </c>
      <c r="N104" s="121">
        <f>2-COUNTBLANK(Men_5[[#This Row],[RD8 XCO Fox Creek]:[RD9 XCO Willowie]])</f>
        <v>0</v>
      </c>
      <c r="O104" s="121" cm="1">
        <f t="array" ref="O104">IF(Men_5[[#This Row],[Number of Rounds]]&lt;=6,SUM(IF(ISNA(B104:J104),0,B104:J104)),SUM(LARGE(B104:J104,{1,2,3,4,5,6})))</f>
        <v>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Fox Creek]:[RD9 XCO Willowie]])</f>
        <v>0</v>
      </c>
      <c r="R104" s="166">
        <f>Men_5[[#This Row],[Best 6 of 8 Overall]]+Men_5[[#This Row],[Best 3 of 4 XCM]]+Men_5[[#This Row],[Total of 2 XCO]]</f>
        <v>0</v>
      </c>
      <c r="S104" s="170" cm="1">
        <f t="array" ref="S104">68-SUM(IF(O104&gt;$O$18:$O$212,1/COUNTIF($O$18:$O$212,$O$18:$O$212)))</f>
        <v>68</v>
      </c>
    </row>
    <row r="105" spans="1:19" ht="16" hidden="1" x14ac:dyDescent="0.2">
      <c r="A105" s="164"/>
      <c r="B105" s="165" t="str">
        <f>_xlfn.IFNA(INDEX('RD1 Eagle'!$I$2:$I$154,MATCH(Men_5[[#This Row],[Rider]],'RD1 Eagle'!$F$2:$F$154,0)),"")</f>
        <v/>
      </c>
      <c r="C105" s="165" t="str">
        <f>_xlfn.IFNA(INDEX('RD2 Shepherds'!$I$2:$I$143,MATCH(Men_5[[#This Row],[Rider]],'RD2 Shepherds'!$F$2:$F$143,0)),"")</f>
        <v/>
      </c>
      <c r="D105" s="165" t="str">
        <f>_xlfn.IFNA(INDEX('RD3 XCO Sheps'!$I$2:$I$190,MATCH(Men_5[[#This Row],[Rider]],'RD3 XCO Sheps'!$F$2:$F$190,0)),"")</f>
        <v/>
      </c>
      <c r="E105" s="165" t="str">
        <f>_xlfn.IFNA(INDEX('RD4 Ohalloran'!$I$2:$I$180,MATCH(Men_5[[#This Row],[Rider]],'RD4 Ohalloran'!$F$2:$F$180,0)),"")</f>
        <v/>
      </c>
      <c r="F105" s="165" t="str">
        <f>_xlfn.IFNA(INDEX('RD5 Craigburn'!$I$2:$I$164,MATCH(Men_5[[#This Row],[Rider]],'RD5 Craigburn'!$F$2:$F$164,0)),"")</f>
        <v/>
      </c>
      <c r="G105" s="165" t="str">
        <f>_xlfn.IFNA(INDEX('RD6 Kinchina'!$I$2:$I$200,MATCH(Men_5[[#This Row],[Rider]],'RD6 Kinchina'!$F$2:$F$200,0)),"")</f>
        <v/>
      </c>
      <c r="H105" s="38" t="str">
        <f>_xlfn.IFNA(INDEX('RD7 O''Hallaron'!$I$2:$I$190,MATCH(Men_5[[#This Row],[Rider]],'RD7 O''Hallaron'!$F$2:$F$201,0)),"")</f>
        <v/>
      </c>
      <c r="I105" s="165" t="str">
        <f>_xlfn.IFNA(INDEX('RD8 Fox Creek'!$I$2:$I$204,MATCH(Men_5[[#This Row],[Rider]],'RD8 Fox Creek'!$F$2:$F$204,0)),"")</f>
        <v/>
      </c>
      <c r="J105" s="38" t="str">
        <f>_xlfn.IFNA(INDEX('RD9 XCM Melrose W'!$I$2:$I$194,MATCH(Men_5[[#This Row],[Rider]],'RD9 XCM Melrose W'!$F$2:$F$194,0)),"")</f>
        <v/>
      </c>
      <c r="K105" s="165">
        <f>9-COUNTBLANK(Men_5[[#This Row],[RD1 XCC Eagle]:[RD9 XCO Willowie]])</f>
        <v>0</v>
      </c>
      <c r="L105" s="59">
        <f>3-COUNTBLANK(Men_5[[#This Row],[RD1 XCC Eagle]:[RD3 XCO Sheps]])</f>
        <v>0</v>
      </c>
      <c r="M105" s="59">
        <f>4-COUNTBLANK(Men_5[[#This Row],[RD4 XCO Ohal]:[RD7 XCO O''Halloran]])</f>
        <v>0</v>
      </c>
      <c r="N105" s="60">
        <f>2-COUNTBLANK(Men_5[[#This Row],[RD8 XCO Fox Creek]:[RD9 XCO Willowie]])</f>
        <v>0</v>
      </c>
      <c r="O105" s="60" cm="1">
        <f t="array" ref="O105">IF(Men_5[[#This Row],[Number of Rounds]]&lt;=6,SUM(IF(ISNA(B105:J105),0,B105:J105)),SUM(LARGE(B105:J105,{1,2,3,4,5,6})))</f>
        <v>0</v>
      </c>
      <c r="P105" s="60" cm="1">
        <f t="array" ref="P105">IF(Men_5[[#This Row],[Number of Rounds XCM]]&lt;=3,SUM(IF(ISNA(E105:H105),0,E105:H105)),SUM(LARGE(E105:H105,{1,2,3})))</f>
        <v>0</v>
      </c>
      <c r="Q105" s="60">
        <f>SUM(Men_5[[#This Row],[RD8 XCO Fox Creek]:[RD9 XCO Willowie]])</f>
        <v>0</v>
      </c>
      <c r="R105" s="166">
        <f>Men_5[[#This Row],[Best 6 of 8 Overall]]+Men_5[[#This Row],[Best 3 of 4 XCM]]+Men_5[[#This Row],[Total of 2 XCO]]</f>
        <v>0</v>
      </c>
      <c r="S105" s="134" cm="1">
        <f t="array" ref="S105">68-SUM(IF(O105&gt;$O$18:$O$212,1/COUNTIF($O$18:$O$212,$O$18:$O$212)))</f>
        <v>68</v>
      </c>
    </row>
    <row r="106" spans="1:19" ht="16" hidden="1" x14ac:dyDescent="0.2">
      <c r="A106" s="141"/>
      <c r="B106" s="120" t="str">
        <f>_xlfn.IFNA(INDEX('RD1 Eagle'!$I$2:$I$154,MATCH(Men_5[[#This Row],[Rider]],'RD1 Eagle'!$F$2:$F$154,0)),"")</f>
        <v/>
      </c>
      <c r="C106" s="120" t="str">
        <f>_xlfn.IFNA(INDEX('RD2 Shepherds'!$I$2:$I$143,MATCH(Men_5[[#This Row],[Rider]],'RD2 Shepherds'!$F$2:$F$143,0)),"")</f>
        <v/>
      </c>
      <c r="D106" s="120" t="str">
        <f>_xlfn.IFNA(INDEX('RD3 XCO Sheps'!$I$2:$I$190,MATCH(Men_5[[#This Row],[Rider]],'RD3 XCO Sheps'!$F$2:$F$190,0)),"")</f>
        <v/>
      </c>
      <c r="E106" s="120" t="str">
        <f>_xlfn.IFNA(INDEX('RD4 Ohalloran'!$I$2:$I$180,MATCH(Men_5[[#This Row],[Rider]],'RD4 Ohalloran'!$F$2:$F$180,0)),"")</f>
        <v/>
      </c>
      <c r="F106" s="120" t="str">
        <f>_xlfn.IFNA(INDEX('RD5 Craigburn'!$I$2:$I$164,MATCH(Men_5[[#This Row],[Rider]],'RD5 Craigburn'!$F$2:$F$164,0)),"")</f>
        <v/>
      </c>
      <c r="G106" s="120" t="str">
        <f>_xlfn.IFNA(INDEX('RD6 Kinchina'!$I$2:$I$200,MATCH(Men_5[[#This Row],[Rider]],'RD6 Kinchina'!$F$2:$F$200,0)),"")</f>
        <v/>
      </c>
      <c r="H106" s="120" t="str">
        <f>_xlfn.IFNA(INDEX('RD7 O''Hallaron'!$I$2:$I$190,MATCH(Men_5[[#This Row],[Rider]],'RD7 O''Hallaron'!$F$2:$F$201,0)),"")</f>
        <v/>
      </c>
      <c r="I106" s="38" t="str">
        <f>_xlfn.IFNA(INDEX('RD8 Fox Creek'!$I$2:$I$204,MATCH(Men_5[[#This Row],[Rider]],'RD8 Fox Creek'!$F$2:$F$204,0)),"")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0</v>
      </c>
      <c r="L106" s="59">
        <f>3-COUNTBLANK(Men_5[[#This Row],[RD1 XCC Eagle]:[RD3 XCO Sheps]])</f>
        <v>0</v>
      </c>
      <c r="M106" s="59">
        <f>4-COUNTBLANK(Men_5[[#This Row],[RD4 XCO Ohal]:[RD7 XCO O''Halloran]])</f>
        <v>0</v>
      </c>
      <c r="N106" s="59">
        <f>2-COUNTBLANK(Men_5[[#This Row],[RD8 XCO Fox Creek]:[RD9 XCO Willowie]])</f>
        <v>0</v>
      </c>
      <c r="O106" s="59" cm="1">
        <f t="array" ref="O106">IF(Men_5[[#This Row],[Number of Rounds]]&lt;=6,SUM(IF(ISNA(B106:J106),0,B106:J106)),SUM(LARGE(B106:J106,{1,2,3,4,5,6})))</f>
        <v>0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Fox Creek]:[RD9 XCO Willowie]])</f>
        <v>0</v>
      </c>
      <c r="R106" s="59">
        <f>Men_5[[#This Row],[Best 6 of 8 Overall]]+Men_5[[#This Row],[Best 3 of 4 XCM]]+Men_5[[#This Row],[Total of 2 XCO]]</f>
        <v>0</v>
      </c>
      <c r="S106" s="134" cm="1">
        <f t="array" ref="S106">68-SUM(IF(O106&gt;$O$18:$O$212,1/COUNTIF($O$18:$O$212,$O$18:$O$212)))</f>
        <v>68</v>
      </c>
    </row>
    <row r="107" spans="1:19" ht="16" hidden="1" x14ac:dyDescent="0.2">
      <c r="A107" s="103"/>
      <c r="B107" s="38" t="str">
        <f>_xlfn.IFNA(INDEX('RD1 Eagle'!$I$2:$I$154,MATCH(Men_5[[#This Row],[Rider]],'RD1 Eagle'!$F$2:$F$154,0)),"")</f>
        <v/>
      </c>
      <c r="C107" s="38" t="str">
        <f>_xlfn.IFNA(INDEX('RD2 Shepherds'!$I$2:$I$143,MATCH(Men_5[[#This Row],[Rider]],'RD2 Shepherds'!$F$2:$F$143,0)),"")</f>
        <v/>
      </c>
      <c r="D107" s="38" t="str">
        <f>_xlfn.IFNA(INDEX('RD3 XCO Sheps'!$I$2:$I$190,MATCH(Men_5[[#This Row],[Rider]],'RD3 XCO Sheps'!$F$2:$F$190,0)),"")</f>
        <v/>
      </c>
      <c r="E107" s="38" t="str">
        <f>_xlfn.IFNA(INDEX('RD4 Ohalloran'!$I$2:$I$180,MATCH(Men_5[[#This Row],[Rider]],'RD4 Ohalloran'!$F$2:$F$180,0)),"")</f>
        <v/>
      </c>
      <c r="F107" s="38" t="str">
        <f>_xlfn.IFNA(INDEX('RD5 Craigburn'!$I$2:$I$164,MATCH(Men_5[[#This Row],[Rider]],'RD5 Craigburn'!$F$2:$F$164,0)),"")</f>
        <v/>
      </c>
      <c r="G107" s="38" t="str">
        <f>_xlfn.IFNA(INDEX('RD6 Kinchina'!$I$2:$I$200,MATCH(Men_5[[#This Row],[Rider]],'RD6 Kinchina'!$F$2:$F$200,0)),"")</f>
        <v/>
      </c>
      <c r="H107" s="38" t="str">
        <f>_xlfn.IFNA(INDEX('RD7 O''Hallaron'!$I$2:$I$190,MATCH(Men_5[[#This Row],[Rider]],'RD7 O''Hallaron'!$F$2:$F$201,0)),"")</f>
        <v/>
      </c>
      <c r="I107" s="38" t="str">
        <f>_xlfn.IFNA(INDEX('RD8 Fox Creek'!$I$2:$I$204,MATCH(Men_5[[#This Row],[Rider]],'RD8 Fox Creek'!$F$2:$F$204,0)),"")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0</v>
      </c>
      <c r="L107" s="59">
        <f>3-COUNTBLANK(Men_5[[#This Row],[RD1 XCC Eagle]:[RD3 XCO Sheps]])</f>
        <v>0</v>
      </c>
      <c r="M107" s="59">
        <f>4-COUNTBLANK(Men_5[[#This Row],[RD4 XCO Ohal]:[RD7 XCO O''Halloran]])</f>
        <v>0</v>
      </c>
      <c r="N107" s="59">
        <f>2-COUNTBLANK(Men_5[[#This Row],[RD8 XCO Fox Creek]:[RD9 XCO Willowie]])</f>
        <v>0</v>
      </c>
      <c r="O107" s="59" cm="1">
        <f t="array" ref="O107">IF(Men_5[[#This Row],[Number of Rounds]]&lt;=6,SUM(IF(ISNA(B107:J107),0,B107:J107)),SUM(LARGE(B107:J107,{1,2,3,4,5,6})))</f>
        <v>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Fox Creek]:[RD9 XCO Willowie]])</f>
        <v>0</v>
      </c>
      <c r="R107" s="59">
        <f>Men_5[[#This Row],[Best 6 of 8 Overall]]+Men_5[[#This Row],[Best 3 of 4 XCM]]+Men_5[[#This Row],[Total of 2 XCO]]</f>
        <v>0</v>
      </c>
      <c r="S107" s="134" cm="1">
        <f t="array" ref="S107">68-SUM(IF(O107&gt;$O$18:$O$212,1/COUNTIF($O$18:$O$212,$O$18:$O$212)))</f>
        <v>68</v>
      </c>
    </row>
    <row r="108" spans="1:19" ht="16" hidden="1" x14ac:dyDescent="0.2">
      <c r="A108" s="103"/>
      <c r="B108" s="38" t="str">
        <f>_xlfn.IFNA(INDEX('RD1 Eagle'!$I$2:$I$154,MATCH(Men_5[[#This Row],[Rider]],'RD1 Eagle'!$F$2:$F$154,0)),"")</f>
        <v/>
      </c>
      <c r="C108" s="38" t="str">
        <f>_xlfn.IFNA(INDEX('RD2 Shepherds'!$I$2:$I$143,MATCH(Men_5[[#This Row],[Rider]],'RD2 Shepherds'!$F$2:$F$143,0)),"")</f>
        <v/>
      </c>
      <c r="D108" s="38" t="str">
        <f>_xlfn.IFNA(INDEX('RD3 XCO Sheps'!$I$2:$I$190,MATCH(Men_5[[#This Row],[Rider]],'RD3 XCO Sheps'!$F$2:$F$190,0)),"")</f>
        <v/>
      </c>
      <c r="E108" s="38" t="str">
        <f>_xlfn.IFNA(INDEX('RD4 Ohalloran'!$I$2:$I$180,MATCH(Men_5[[#This Row],[Rider]],'RD4 Ohalloran'!$F$2:$F$180,0)),"")</f>
        <v/>
      </c>
      <c r="F108" s="38" t="str">
        <f>_xlfn.IFNA(INDEX('RD5 Craigburn'!$I$2:$I$164,MATCH(Men_5[[#This Row],[Rider]],'RD5 Craigburn'!$F$2:$F$164,0)),"")</f>
        <v/>
      </c>
      <c r="G108" s="38" t="str">
        <f>_xlfn.IFNA(INDEX('RD6 Kinchina'!$I$2:$I$200,MATCH(Men_5[[#This Row],[Rider]],'RD6 Kinchina'!$F$2:$F$200,0)),"")</f>
        <v/>
      </c>
      <c r="H108" s="38" t="str">
        <f>_xlfn.IFNA(INDEX('RD7 O''Hallaron'!$I$2:$I$190,MATCH(Men_5[[#This Row],[Rider]],'RD7 O''Hallaron'!$F$2:$F$201,0)),"")</f>
        <v/>
      </c>
      <c r="I108" s="38" t="str">
        <f>_xlfn.IFNA(INDEX('RD8 Fox Creek'!$I$2:$I$204,MATCH(Men_5[[#This Row],[Rider]],'RD8 Fox Creek'!$F$2:$F$204,0)),"")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0</v>
      </c>
      <c r="L108" s="59">
        <f>3-COUNTBLANK(Men_5[[#This Row],[RD1 XCC Eagle]:[RD3 XCO Sheps]])</f>
        <v>0</v>
      </c>
      <c r="M108" s="59">
        <f>4-COUNTBLANK(Men_5[[#This Row],[RD4 XCO Ohal]:[RD7 XCO O''Halloran]])</f>
        <v>0</v>
      </c>
      <c r="N108" s="59">
        <f>2-COUNTBLANK(Men_5[[#This Row],[RD8 XCO Fox Creek]:[RD9 XCO Willowie]])</f>
        <v>0</v>
      </c>
      <c r="O108" s="59" cm="1">
        <f t="array" ref="O108">IF(Men_5[[#This Row],[Number of Rounds]]&lt;=6,SUM(IF(ISNA(B108:J108),0,B108:J108)),SUM(LARGE(B108:J108,{1,2,3,4,5,6})))</f>
        <v>0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Fox Creek]:[RD9 XCO Willowie]])</f>
        <v>0</v>
      </c>
      <c r="R108" s="59">
        <f>Men_5[[#This Row],[Best 6 of 8 Overall]]+Men_5[[#This Row],[Best 3 of 4 XCM]]+Men_5[[#This Row],[Total of 2 XCO]]</f>
        <v>0</v>
      </c>
      <c r="S108" s="134" cm="1">
        <f t="array" ref="S108">68-SUM(IF(O108&gt;$O$18:$O$212,1/COUNTIF($O$18:$O$212,$O$18:$O$212)))</f>
        <v>68</v>
      </c>
    </row>
    <row r="109" spans="1:19" ht="16" hidden="1" x14ac:dyDescent="0.2">
      <c r="A109" s="103"/>
      <c r="B109" s="38" t="str">
        <f>_xlfn.IFNA(INDEX('RD1 Eagle'!$I$2:$I$154,MATCH(Men_5[[#This Row],[Rider]],'RD1 Eagle'!$F$2:$F$154,0)),"")</f>
        <v/>
      </c>
      <c r="C109" s="38" t="str">
        <f>_xlfn.IFNA(INDEX('RD2 Shepherds'!$I$2:$I$143,MATCH(Men_5[[#This Row],[Rider]],'RD2 Shepherds'!$F$2:$F$143,0)),"")</f>
        <v/>
      </c>
      <c r="D109" s="38" t="str">
        <f>_xlfn.IFNA(INDEX('RD3 XCO Sheps'!$I$2:$I$190,MATCH(Men_5[[#This Row],[Rider]],'RD3 XCO Sheps'!$F$2:$F$190,0)),"")</f>
        <v/>
      </c>
      <c r="E109" s="38" t="str">
        <f>_xlfn.IFNA(INDEX('RD4 Ohalloran'!$I$2:$I$180,MATCH(Men_5[[#This Row],[Rider]],'RD4 Ohalloran'!$F$2:$F$180,0)),"")</f>
        <v/>
      </c>
      <c r="F109" s="38" t="str">
        <f>_xlfn.IFNA(INDEX('RD5 Craigburn'!$I$2:$I$164,MATCH(Men_5[[#This Row],[Rider]],'RD5 Craigburn'!$F$2:$F$164,0)),"")</f>
        <v/>
      </c>
      <c r="G109" s="38" t="str">
        <f>_xlfn.IFNA(INDEX('RD6 Kinchina'!$I$2:$I$200,MATCH(Men_5[[#This Row],[Rider]],'RD6 Kinchina'!$F$2:$F$200,0)),"")</f>
        <v/>
      </c>
      <c r="H109" s="38" t="str">
        <f>_xlfn.IFNA(INDEX('RD7 O''Hallaron'!$I$2:$I$190,MATCH(Men_5[[#This Row],[Rider]],'RD7 O''Hallaron'!$F$2:$F$201,0)),"")</f>
        <v/>
      </c>
      <c r="I109" s="38" t="str">
        <f>_xlfn.IFNA(INDEX('RD8 Fox Creek'!$I$2:$I$204,MATCH(Men_5[[#This Row],[Rider]],'RD8 Fox Creek'!$F$2:$F$204,0)),"")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0</v>
      </c>
      <c r="L109" s="59">
        <f>3-COUNTBLANK(Men_5[[#This Row],[RD1 XCC Eagle]:[RD3 XCO Sheps]])</f>
        <v>0</v>
      </c>
      <c r="M109" s="59">
        <f>4-COUNTBLANK(Men_5[[#This Row],[RD4 XCO Ohal]:[RD7 XCO O''Halloran]])</f>
        <v>0</v>
      </c>
      <c r="N109" s="59">
        <f>2-COUNTBLANK(Men_5[[#This Row],[RD8 XCO Fox Creek]:[RD9 XCO Willowie]])</f>
        <v>0</v>
      </c>
      <c r="O109" s="59" cm="1">
        <f t="array" ref="O109">IF(Men_5[[#This Row],[Number of Rounds]]&lt;=6,SUM(IF(ISNA(B109:J109),0,B109:J109)),SUM(LARGE(B109:J109,{1,2,3,4,5,6})))</f>
        <v>0</v>
      </c>
      <c r="P109" s="59" cm="1">
        <f t="array" ref="P109">IF(Men_5[[#This Row],[Number of Rounds XCM]]&lt;=3,SUM(IF(ISNA(E109:H109),0,E109:H109)),SUM(LARGE(E109:H109,{1,2,3})))</f>
        <v>0</v>
      </c>
      <c r="Q109" s="59">
        <f>SUM(Men_5[[#This Row],[RD8 XCO Fox Creek]:[RD9 XCO Willowie]])</f>
        <v>0</v>
      </c>
      <c r="R109" s="59">
        <f>Men_5[[#This Row],[Best 6 of 8 Overall]]+Men_5[[#This Row],[Best 3 of 4 XCM]]+Men_5[[#This Row],[Total of 2 XCO]]</f>
        <v>0</v>
      </c>
      <c r="S109" s="134" cm="1">
        <f t="array" ref="S109">68-SUM(IF(O109&gt;$O$18:$O$212,1/COUNTIF($O$18:$O$212,$O$18:$O$212)))</f>
        <v>68</v>
      </c>
    </row>
    <row r="110" spans="1:19" ht="16" hidden="1" x14ac:dyDescent="0.2">
      <c r="A110" s="103"/>
      <c r="B110" s="38" t="str">
        <f>_xlfn.IFNA(INDEX('RD1 Eagle'!$I$2:$I$154,MATCH(Men_5[[#This Row],[Rider]],'RD1 Eagle'!$F$2:$F$154,0)),"")</f>
        <v/>
      </c>
      <c r="C110" s="38" t="str">
        <f>_xlfn.IFNA(INDEX('RD2 Shepherds'!$I$2:$I$143,MATCH(Men_5[[#This Row],[Rider]],'RD2 Shepherds'!$F$2:$F$143,0)),"")</f>
        <v/>
      </c>
      <c r="D110" s="38" t="str">
        <f>_xlfn.IFNA(INDEX('RD3 XCO Sheps'!$I$2:$I$190,MATCH(Men_5[[#This Row],[Rider]],'RD3 XCO Sheps'!$F$2:$F$190,0)),"")</f>
        <v/>
      </c>
      <c r="E110" s="38" t="str">
        <f>_xlfn.IFNA(INDEX('RD4 Ohalloran'!$I$2:$I$180,MATCH(Men_5[[#This Row],[Rider]],'RD4 Ohalloran'!$F$2:$F$180,0)),"")</f>
        <v/>
      </c>
      <c r="F110" s="38" t="str">
        <f>_xlfn.IFNA(INDEX('RD5 Craigburn'!$I$2:$I$164,MATCH(Men_5[[#This Row],[Rider]],'RD5 Craigburn'!$F$2:$F$164,0)),"")</f>
        <v/>
      </c>
      <c r="G110" s="38" t="str">
        <f>_xlfn.IFNA(INDEX('RD6 Kinchina'!$I$2:$I$200,MATCH(Men_5[[#This Row],[Rider]],'RD6 Kinchina'!$F$2:$F$200,0)),"")</f>
        <v/>
      </c>
      <c r="H110" s="38" t="str">
        <f>_xlfn.IFNA(INDEX('RD7 O''Hallaron'!$I$2:$I$190,MATCH(Men_5[[#This Row],[Rider]],'RD7 O''Hallaron'!$F$2:$F$201,0)),"")</f>
        <v/>
      </c>
      <c r="I110" s="38" t="str">
        <f>_xlfn.IFNA(INDEX('RD8 Fox Creek'!$I$2:$I$204,MATCH(Men_5[[#This Row],[Rider]],'RD8 Fox Creek'!$F$2:$F$204,0)),"")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0</v>
      </c>
      <c r="L110" s="59">
        <f>3-COUNTBLANK(Men_5[[#This Row],[RD1 XCC Eagle]:[RD3 XCO Sheps]])</f>
        <v>0</v>
      </c>
      <c r="M110" s="59">
        <f>4-COUNTBLANK(Men_5[[#This Row],[RD4 XCO Ohal]:[RD7 XCO O''Halloran]])</f>
        <v>0</v>
      </c>
      <c r="N110" s="59">
        <f>2-COUNTBLANK(Men_5[[#This Row],[RD8 XCO Fox Creek]:[RD9 XCO Willowie]])</f>
        <v>0</v>
      </c>
      <c r="O110" s="59" cm="1">
        <f t="array" ref="O110">IF(Men_5[[#This Row],[Number of Rounds]]&lt;=6,SUM(IF(ISNA(B110:J110),0,B110:J110)),SUM(LARGE(B110:J110,{1,2,3,4,5,6})))</f>
        <v>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Fox Creek]:[RD9 XCO Willowie]])</f>
        <v>0</v>
      </c>
      <c r="R110" s="59">
        <f>Men_5[[#This Row],[Best 6 of 8 Overall]]+Men_5[[#This Row],[Best 3 of 4 XCM]]+Men_5[[#This Row],[Total of 2 XCO]]</f>
        <v>0</v>
      </c>
      <c r="S110" s="134" cm="1">
        <f t="array" ref="S110">68-SUM(IF(O110&gt;$O$18:$O$212,1/COUNTIF($O$18:$O$212,$O$18:$O$212)))</f>
        <v>68</v>
      </c>
    </row>
    <row r="111" spans="1:19" ht="16" hidden="1" x14ac:dyDescent="0.2">
      <c r="A111" s="103"/>
      <c r="B111" s="38" t="str">
        <f>_xlfn.IFNA(INDEX('RD1 Eagle'!$I$2:$I$154,MATCH(Men_5[[#This Row],[Rider]],'RD1 Eagle'!$F$2:$F$154,0)),"")</f>
        <v/>
      </c>
      <c r="C111" s="38" t="str">
        <f>_xlfn.IFNA(INDEX('RD2 Shepherds'!$I$2:$I$143,MATCH(Men_5[[#This Row],[Rider]],'RD2 Shepherds'!$F$2:$F$143,0)),"")</f>
        <v/>
      </c>
      <c r="D111" s="38" t="str">
        <f>_xlfn.IFNA(INDEX('RD3 XCO Sheps'!$I$2:$I$190,MATCH(Men_5[[#This Row],[Rider]],'RD3 XCO Sheps'!$F$2:$F$190,0)),"")</f>
        <v/>
      </c>
      <c r="E111" s="38" t="str">
        <f>_xlfn.IFNA(INDEX('RD4 Ohalloran'!$I$2:$I$180,MATCH(Men_5[[#This Row],[Rider]],'RD4 Ohalloran'!$F$2:$F$180,0)),"")</f>
        <v/>
      </c>
      <c r="F111" s="38" t="str">
        <f>_xlfn.IFNA(INDEX('RD5 Craigburn'!$I$2:$I$164,MATCH(Men_5[[#This Row],[Rider]],'RD5 Craigburn'!$F$2:$F$164,0)),"")</f>
        <v/>
      </c>
      <c r="G111" s="38" t="str">
        <f>_xlfn.IFNA(INDEX('RD6 Kinchina'!$I$2:$I$200,MATCH(Men_5[[#This Row],[Rider]],'RD6 Kinchina'!$F$2:$F$200,0)),"")</f>
        <v/>
      </c>
      <c r="H111" s="38" t="str">
        <f>_xlfn.IFNA(INDEX('RD7 O''Hallaron'!$I$2:$I$190,MATCH(Men_5[[#This Row],[Rider]],'RD7 O''Hallaron'!$F$2:$F$201,0)),"")</f>
        <v/>
      </c>
      <c r="I111" s="38" t="str">
        <f>_xlfn.IFNA(INDEX('RD8 Fox Creek'!$I$2:$I$204,MATCH(Men_5[[#This Row],[Rider]],'RD8 Fox Creek'!$F$2:$F$204,0)),"")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0</v>
      </c>
      <c r="L111" s="59">
        <f>3-COUNTBLANK(Men_5[[#This Row],[RD1 XCC Eagle]:[RD3 XCO Sheps]])</f>
        <v>0</v>
      </c>
      <c r="M111" s="59">
        <f>4-COUNTBLANK(Men_5[[#This Row],[RD4 XCO Ohal]:[RD7 XCO O''Halloran]])</f>
        <v>0</v>
      </c>
      <c r="N111" s="59">
        <f>2-COUNTBLANK(Men_5[[#This Row],[RD8 XCO Fox Creek]:[RD9 XCO Willowie]])</f>
        <v>0</v>
      </c>
      <c r="O111" s="59" cm="1">
        <f t="array" ref="O111">IF(Men_5[[#This Row],[Number of Rounds]]&lt;=6,SUM(IF(ISNA(B111:J111),0,B111:J111)),SUM(LARGE(B111:J111,{1,2,3,4,5,6})))</f>
        <v>0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Fox Creek]:[RD9 XCO Willowie]])</f>
        <v>0</v>
      </c>
      <c r="R111" s="59">
        <f>Men_5[[#This Row],[Best 6 of 8 Overall]]+Men_5[[#This Row],[Best 3 of 4 XCM]]+Men_5[[#This Row],[Total of 2 XCO]]</f>
        <v>0</v>
      </c>
      <c r="S111" s="134" cm="1">
        <f t="array" ref="S111">68-SUM(IF(O111&gt;$O$18:$O$212,1/COUNTIF($O$18:$O$212,$O$18:$O$212)))</f>
        <v>68</v>
      </c>
    </row>
    <row r="112" spans="1:19" ht="16" hidden="1" x14ac:dyDescent="0.2">
      <c r="A112" s="103"/>
      <c r="B112" s="38" t="str">
        <f>_xlfn.IFNA(INDEX('RD1 Eagle'!$I$2:$I$154,MATCH(Men_5[[#This Row],[Rider]],'RD1 Eagle'!$F$2:$F$154,0)),"")</f>
        <v/>
      </c>
      <c r="C112" s="38" t="str">
        <f>_xlfn.IFNA(INDEX('RD2 Shepherds'!$I$2:$I$143,MATCH(Men_5[[#This Row],[Rider]],'RD2 Shepherds'!$F$2:$F$143,0)),"")</f>
        <v/>
      </c>
      <c r="D112" s="38" t="str">
        <f>_xlfn.IFNA(INDEX('RD3 XCO Sheps'!$I$2:$I$190,MATCH(Men_5[[#This Row],[Rider]],'RD3 XCO Sheps'!$F$2:$F$190,0)),"")</f>
        <v/>
      </c>
      <c r="E112" s="38" t="str">
        <f>_xlfn.IFNA(INDEX('RD4 Ohalloran'!$I$2:$I$180,MATCH(Men_5[[#This Row],[Rider]],'RD4 Ohalloran'!$F$2:$F$180,0)),"")</f>
        <v/>
      </c>
      <c r="F112" s="38" t="str">
        <f>_xlfn.IFNA(INDEX('RD5 Craigburn'!$I$2:$I$164,MATCH(Men_5[[#This Row],[Rider]],'RD5 Craigburn'!$F$2:$F$164,0)),"")</f>
        <v/>
      </c>
      <c r="G112" s="38" t="str">
        <f>_xlfn.IFNA(INDEX('RD6 Kinchina'!$I$2:$I$200,MATCH(Men_5[[#This Row],[Rider]],'RD6 Kinchina'!$F$2:$F$200,0)),"")</f>
        <v/>
      </c>
      <c r="H112" s="38" t="str">
        <f>_xlfn.IFNA(INDEX('RD7 O''Hallaron'!$I$2:$I$190,MATCH(Men_5[[#This Row],[Rider]],'RD7 O''Hallaron'!$F$2:$F$201,0)),"")</f>
        <v/>
      </c>
      <c r="I112" s="38" t="str">
        <f>_xlfn.IFNA(INDEX('RD8 Fox Creek'!$I$2:$I$204,MATCH(Men_5[[#This Row],[Rider]],'RD8 Fox Creek'!$F$2:$F$204,0)),"")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0</v>
      </c>
      <c r="L112" s="59">
        <f>3-COUNTBLANK(Men_5[[#This Row],[RD1 XCC Eagle]:[RD3 XCO Sheps]])</f>
        <v>0</v>
      </c>
      <c r="M112" s="59">
        <f>4-COUNTBLANK(Men_5[[#This Row],[RD4 XCO Ohal]:[RD7 XCO O''Halloran]])</f>
        <v>0</v>
      </c>
      <c r="N112" s="59">
        <f>2-COUNTBLANK(Men_5[[#This Row],[RD8 XCO Fox Creek]:[RD9 XCO Willowie]])</f>
        <v>0</v>
      </c>
      <c r="O112" s="59" cm="1">
        <f t="array" ref="O112">IF(Men_5[[#This Row],[Number of Rounds]]&lt;=6,SUM(IF(ISNA(B112:J112),0,B112:J112)),SUM(LARGE(B112:J112,{1,2,3,4,5,6})))</f>
        <v>0</v>
      </c>
      <c r="P112" s="59" cm="1">
        <f t="array" ref="P112">IF(Men_5[[#This Row],[Number of Rounds XCM]]&lt;=3,SUM(IF(ISNA(E112:H112),0,E112:H112)),SUM(LARGE(E112:H112,{1,2,3})))</f>
        <v>0</v>
      </c>
      <c r="Q112" s="59">
        <f>SUM(Men_5[[#This Row],[RD8 XCO Fox Creek]:[RD9 XCO Willowie]])</f>
        <v>0</v>
      </c>
      <c r="R112" s="59">
        <f>Men_5[[#This Row],[Best 6 of 8 Overall]]+Men_5[[#This Row],[Best 3 of 4 XCM]]+Men_5[[#This Row],[Total of 2 XCO]]</f>
        <v>0</v>
      </c>
      <c r="S112" s="134" cm="1">
        <f t="array" ref="S112">68-SUM(IF(O112&gt;$O$18:$O$212,1/COUNTIF($O$18:$O$212,$O$18:$O$212)))</f>
        <v>68</v>
      </c>
    </row>
    <row r="113" spans="1:19" ht="16" hidden="1" x14ac:dyDescent="0.2">
      <c r="A113" s="103"/>
      <c r="B113" s="38" t="str">
        <f>_xlfn.IFNA(INDEX('RD1 Eagle'!$I$2:$I$154,MATCH(Men_5[[#This Row],[Rider]],'RD1 Eagle'!$F$2:$F$154,0)),"")</f>
        <v/>
      </c>
      <c r="C113" s="38" t="str">
        <f>_xlfn.IFNA(INDEX('RD2 Shepherds'!$I$2:$I$143,MATCH(Men_5[[#This Row],[Rider]],'RD2 Shepherds'!$F$2:$F$143,0)),"")</f>
        <v/>
      </c>
      <c r="D113" s="38" t="str">
        <f>_xlfn.IFNA(INDEX('RD3 XCO Sheps'!$I$2:$I$190,MATCH(Men_5[[#This Row],[Rider]],'RD3 XCO Sheps'!$F$2:$F$190,0)),"")</f>
        <v/>
      </c>
      <c r="E113" s="38" t="str">
        <f>_xlfn.IFNA(INDEX('RD4 Ohalloran'!$I$2:$I$180,MATCH(Men_5[[#This Row],[Rider]],'RD4 Ohalloran'!$F$2:$F$180,0)),"")</f>
        <v/>
      </c>
      <c r="F113" s="38" t="str">
        <f>_xlfn.IFNA(INDEX('RD5 Craigburn'!$I$2:$I$164,MATCH(Men_5[[#This Row],[Rider]],'RD5 Craigburn'!$F$2:$F$164,0)),"")</f>
        <v/>
      </c>
      <c r="G113" s="38" t="str">
        <f>_xlfn.IFNA(INDEX('RD6 Kinchina'!$I$2:$I$200,MATCH(Men_5[[#This Row],[Rider]],'RD6 Kinchina'!$F$2:$F$200,0)),"")</f>
        <v/>
      </c>
      <c r="H113" s="38" t="str">
        <f>_xlfn.IFNA(INDEX('RD7 O''Hallaron'!$I$2:$I$190,MATCH(Men_5[[#This Row],[Rider]],'RD7 O''Hallaron'!$F$2:$F$201,0)),"")</f>
        <v/>
      </c>
      <c r="I113" s="38" t="str">
        <f>_xlfn.IFNA(INDEX('RD8 Fox Creek'!$I$2:$I$204,MATCH(Men_5[[#This Row],[Rider]],'RD8 Fox Creek'!$F$2:$F$204,0)),"")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0</v>
      </c>
      <c r="L113" s="59">
        <f>3-COUNTBLANK(Men_5[[#This Row],[RD1 XCC Eagle]:[RD3 XCO Sheps]])</f>
        <v>0</v>
      </c>
      <c r="M113" s="59">
        <f>4-COUNTBLANK(Men_5[[#This Row],[RD4 XCO Ohal]:[RD7 XCO O''Halloran]])</f>
        <v>0</v>
      </c>
      <c r="N113" s="59">
        <f>2-COUNTBLANK(Men_5[[#This Row],[RD8 XCO Fox Creek]:[RD9 XCO Willowie]])</f>
        <v>0</v>
      </c>
      <c r="O113" s="59" cm="1">
        <f t="array" ref="O113">IF(Men_5[[#This Row],[Number of Rounds]]&lt;=6,SUM(IF(ISNA(B113:J113),0,B113:J113)),SUM(LARGE(B113:J113,{1,2,3,4,5,6})))</f>
        <v>0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Fox Creek]:[RD9 XCO Willowie]])</f>
        <v>0</v>
      </c>
      <c r="R113" s="59">
        <f>Men_5[[#This Row],[Best 6 of 8 Overall]]+Men_5[[#This Row],[Best 3 of 4 XCM]]+Men_5[[#This Row],[Total of 2 XCO]]</f>
        <v>0</v>
      </c>
      <c r="S113" s="134" cm="1">
        <f t="array" ref="S113">68-SUM(IF(O113&gt;$O$18:$O$212,1/COUNTIF($O$18:$O$212,$O$18:$O$212)))</f>
        <v>68</v>
      </c>
    </row>
    <row r="114" spans="1:19" ht="16" hidden="1" x14ac:dyDescent="0.2">
      <c r="A114" s="103"/>
      <c r="B114" s="38" t="str">
        <f>_xlfn.IFNA(INDEX('RD1 Eagle'!$I$2:$I$154,MATCH(Men_5[[#This Row],[Rider]],'RD1 Eagle'!$F$2:$F$154,0)),"")</f>
        <v/>
      </c>
      <c r="C114" s="38" t="str">
        <f>_xlfn.IFNA(INDEX('RD2 Shepherds'!$I$2:$I$143,MATCH(Men_5[[#This Row],[Rider]],'RD2 Shepherds'!$F$2:$F$143,0)),"")</f>
        <v/>
      </c>
      <c r="D114" s="38" t="str">
        <f>_xlfn.IFNA(INDEX('RD3 XCO Sheps'!$I$2:$I$190,MATCH(Men_5[[#This Row],[Rider]],'RD3 XCO Sheps'!$F$2:$F$190,0)),"")</f>
        <v/>
      </c>
      <c r="E114" s="38" t="str">
        <f>_xlfn.IFNA(INDEX('RD4 Ohalloran'!$I$2:$I$180,MATCH(Men_5[[#This Row],[Rider]],'RD4 Ohalloran'!$F$2:$F$180,0)),"")</f>
        <v/>
      </c>
      <c r="F114" s="38" t="str">
        <f>_xlfn.IFNA(INDEX('RD5 Craigburn'!$I$2:$I$164,MATCH(Men_5[[#This Row],[Rider]],'RD5 Craigburn'!$F$2:$F$164,0)),"")</f>
        <v/>
      </c>
      <c r="G114" s="38" t="str">
        <f>_xlfn.IFNA(INDEX('RD6 Kinchina'!$I$2:$I$200,MATCH(Men_5[[#This Row],[Rider]],'RD6 Kinchina'!$F$2:$F$200,0)),"")</f>
        <v/>
      </c>
      <c r="H114" s="38" t="str">
        <f>_xlfn.IFNA(INDEX('RD7 O''Hallaron'!$I$2:$I$190,MATCH(Men_5[[#This Row],[Rider]],'RD7 O''Hallaron'!$F$2:$F$201,0)),"")</f>
        <v/>
      </c>
      <c r="I114" s="38" t="str">
        <f>_xlfn.IFNA(INDEX('RD8 Fox Creek'!$I$2:$I$204,MATCH(Men_5[[#This Row],[Rider]],'RD8 Fox Creek'!$F$2:$F$204,0)),"")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0</v>
      </c>
      <c r="L114" s="59">
        <f>3-COUNTBLANK(Men_5[[#This Row],[RD1 XCC Eagle]:[RD3 XCO Sheps]])</f>
        <v>0</v>
      </c>
      <c r="M114" s="59">
        <f>4-COUNTBLANK(Men_5[[#This Row],[RD4 XCO Ohal]:[RD7 XCO O''Halloran]])</f>
        <v>0</v>
      </c>
      <c r="N114" s="59">
        <f>2-COUNTBLANK(Men_5[[#This Row],[RD8 XCO Fox Creek]:[RD9 XCO Willowie]])</f>
        <v>0</v>
      </c>
      <c r="O114" s="59" cm="1">
        <f t="array" ref="O114">IF(Men_5[[#This Row],[Number of Rounds]]&lt;=6,SUM(IF(ISNA(B114:J114),0,B114:J114)),SUM(LARGE(B114:J114,{1,2,3,4,5,6})))</f>
        <v>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Fox Creek]:[RD9 XCO Willowie]])</f>
        <v>0</v>
      </c>
      <c r="R114" s="59">
        <f>Men_5[[#This Row],[Best 6 of 8 Overall]]+Men_5[[#This Row],[Best 3 of 4 XCM]]+Men_5[[#This Row],[Total of 2 XCO]]</f>
        <v>0</v>
      </c>
      <c r="S114" s="134" cm="1">
        <f t="array" ref="S114">68-SUM(IF(O114&gt;$O$18:$O$212,1/COUNTIF($O$18:$O$212,$O$18:$O$212)))</f>
        <v>68</v>
      </c>
    </row>
    <row r="115" spans="1:19" ht="16" hidden="1" x14ac:dyDescent="0.2">
      <c r="A115" s="103"/>
      <c r="B115" s="38" t="str">
        <f>_xlfn.IFNA(INDEX('RD1 Eagle'!$I$2:$I$154,MATCH(Men_5[[#This Row],[Rider]],'RD1 Eagle'!$F$2:$F$154,0)),"")</f>
        <v/>
      </c>
      <c r="C115" s="38" t="str">
        <f>_xlfn.IFNA(INDEX('RD2 Shepherds'!$I$2:$I$143,MATCH(Men_5[[#This Row],[Rider]],'RD2 Shepherds'!$F$2:$F$143,0)),"")</f>
        <v/>
      </c>
      <c r="D115" s="38" t="str">
        <f>_xlfn.IFNA(INDEX('RD3 XCO Sheps'!$I$2:$I$190,MATCH(Men_5[[#This Row],[Rider]],'RD3 XCO Sheps'!$F$2:$F$190,0)),"")</f>
        <v/>
      </c>
      <c r="E115" s="38" t="str">
        <f>_xlfn.IFNA(INDEX('RD4 Ohalloran'!$I$2:$I$180,MATCH(Men_5[[#This Row],[Rider]],'RD4 Ohalloran'!$F$2:$F$180,0)),"")</f>
        <v/>
      </c>
      <c r="F115" s="38" t="str">
        <f>_xlfn.IFNA(INDEX('RD5 Craigburn'!$I$2:$I$164,MATCH(Men_5[[#This Row],[Rider]],'RD5 Craigburn'!$F$2:$F$164,0)),"")</f>
        <v/>
      </c>
      <c r="G115" s="38" t="str">
        <f>_xlfn.IFNA(INDEX('RD6 Kinchina'!$I$2:$I$200,MATCH(Men_5[[#This Row],[Rider]],'RD6 Kinchina'!$F$2:$F$200,0)),"")</f>
        <v/>
      </c>
      <c r="H115" s="38" t="str">
        <f>_xlfn.IFNA(INDEX('RD7 O''Hallaron'!$I$2:$I$190,MATCH(Men_5[[#This Row],[Rider]],'RD7 O''Hallaron'!$F$2:$F$201,0)),"")</f>
        <v/>
      </c>
      <c r="I115" s="38" t="str">
        <f>_xlfn.IFNA(INDEX('RD8 Fox Creek'!$I$2:$I$204,MATCH(Men_5[[#This Row],[Rider]],'RD8 Fox Creek'!$F$2:$F$204,0)),"")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0</v>
      </c>
      <c r="L115" s="59">
        <f>3-COUNTBLANK(Men_5[[#This Row],[RD1 XCC Eagle]:[RD3 XCO Sheps]])</f>
        <v>0</v>
      </c>
      <c r="M115" s="59">
        <f>4-COUNTBLANK(Men_5[[#This Row],[RD4 XCO Ohal]:[RD7 XCO O''Halloran]])</f>
        <v>0</v>
      </c>
      <c r="N115" s="59">
        <f>2-COUNTBLANK(Men_5[[#This Row],[RD8 XCO Fox Creek]:[RD9 XCO Willowie]])</f>
        <v>0</v>
      </c>
      <c r="O115" s="59" cm="1">
        <f t="array" ref="O115">IF(Men_5[[#This Row],[Number of Rounds]]&lt;=6,SUM(IF(ISNA(B115:J115),0,B115:J115)),SUM(LARGE(B115:J115,{1,2,3,4,5,6})))</f>
        <v>0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Fox Creek]:[RD9 XCO Willowie]])</f>
        <v>0</v>
      </c>
      <c r="R115" s="59">
        <f>Men_5[[#This Row],[Best 6 of 8 Overall]]+Men_5[[#This Row],[Best 3 of 4 XCM]]+Men_5[[#This Row],[Total of 2 XCO]]</f>
        <v>0</v>
      </c>
      <c r="S115" s="134" cm="1">
        <f t="array" ref="S115">68-SUM(IF(O115&gt;$O$18:$O$212,1/COUNTIF($O$18:$O$212,$O$18:$O$212)))</f>
        <v>68</v>
      </c>
    </row>
    <row r="116" spans="1:19" ht="16" hidden="1" x14ac:dyDescent="0.2">
      <c r="A116" s="103"/>
      <c r="B116" s="38" t="str">
        <f>_xlfn.IFNA(INDEX('RD1 Eagle'!$I$2:$I$154,MATCH(Men_5[[#This Row],[Rider]],'RD1 Eagle'!$F$2:$F$154,0)),"")</f>
        <v/>
      </c>
      <c r="C116" s="38" t="str">
        <f>_xlfn.IFNA(INDEX('RD2 Shepherds'!$I$2:$I$143,MATCH(Men_5[[#This Row],[Rider]],'RD2 Shepherds'!$F$2:$F$143,0)),"")</f>
        <v/>
      </c>
      <c r="D116" s="38" t="str">
        <f>_xlfn.IFNA(INDEX('RD3 XCO Sheps'!$I$2:$I$190,MATCH(Men_5[[#This Row],[Rider]],'RD3 XCO Sheps'!$F$2:$F$190,0)),"")</f>
        <v/>
      </c>
      <c r="E116" s="38" t="str">
        <f>_xlfn.IFNA(INDEX('RD4 Ohalloran'!$I$2:$I$180,MATCH(Men_5[[#This Row],[Rider]],'RD4 Ohalloran'!$F$2:$F$180,0)),"")</f>
        <v/>
      </c>
      <c r="F116" s="38" t="str">
        <f>_xlfn.IFNA(INDEX('RD5 Craigburn'!$I$2:$I$164,MATCH(Men_5[[#This Row],[Rider]],'RD5 Craigburn'!$F$2:$F$164,0)),"")</f>
        <v/>
      </c>
      <c r="G116" s="38" t="str">
        <f>_xlfn.IFNA(INDEX('RD6 Kinchina'!$I$2:$I$200,MATCH(Men_5[[#This Row],[Rider]],'RD6 Kinchina'!$F$2:$F$200,0)),"")</f>
        <v/>
      </c>
      <c r="H116" s="38" t="str">
        <f>_xlfn.IFNA(INDEX('RD7 O''Hallaron'!$I$2:$I$190,MATCH(Men_5[[#This Row],[Rider]],'RD7 O''Hallaron'!$F$2:$F$201,0)),"")</f>
        <v/>
      </c>
      <c r="I116" s="38" t="str">
        <f>_xlfn.IFNA(INDEX('RD8 Fox Creek'!$I$2:$I$204,MATCH(Men_5[[#This Row],[Rider]],'RD8 Fox Creek'!$F$2:$F$204,0)),"")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0</v>
      </c>
      <c r="L116" s="59">
        <f>3-COUNTBLANK(Men_5[[#This Row],[RD1 XCC Eagle]:[RD3 XCO Sheps]])</f>
        <v>0</v>
      </c>
      <c r="M116" s="59">
        <f>4-COUNTBLANK(Men_5[[#This Row],[RD4 XCO Ohal]:[RD7 XCO O''Halloran]])</f>
        <v>0</v>
      </c>
      <c r="N116" s="59">
        <f>2-COUNTBLANK(Men_5[[#This Row],[RD8 XCO Fox Creek]:[RD9 XCO Willowie]])</f>
        <v>0</v>
      </c>
      <c r="O116" s="59" cm="1">
        <f t="array" ref="O116">IF(Men_5[[#This Row],[Number of Rounds]]&lt;=6,SUM(IF(ISNA(B116:J116),0,B116:J116)),SUM(LARGE(B116:J116,{1,2,3,4,5,6})))</f>
        <v>0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Fox Creek]:[RD9 XCO Willowie]])</f>
        <v>0</v>
      </c>
      <c r="R116" s="59">
        <f>Men_5[[#This Row],[Best 6 of 8 Overall]]+Men_5[[#This Row],[Best 3 of 4 XCM]]+Men_5[[#This Row],[Total of 2 XCO]]</f>
        <v>0</v>
      </c>
      <c r="S116" s="134" cm="1">
        <f t="array" ref="S116">68-SUM(IF(O116&gt;$O$18:$O$212,1/COUNTIF($O$18:$O$212,$O$18:$O$212)))</f>
        <v>68</v>
      </c>
    </row>
    <row r="117" spans="1:19" ht="16" hidden="1" x14ac:dyDescent="0.2">
      <c r="A117" s="103"/>
      <c r="B117" s="38" t="str">
        <f>_xlfn.IFNA(INDEX('RD1 Eagle'!$I$2:$I$154,MATCH(Men_5[[#This Row],[Rider]],'RD1 Eagle'!$F$2:$F$154,0)),"")</f>
        <v/>
      </c>
      <c r="C117" s="38" t="str">
        <f>_xlfn.IFNA(INDEX('RD2 Shepherds'!$I$2:$I$143,MATCH(Men_5[[#This Row],[Rider]],'RD2 Shepherds'!$F$2:$F$143,0)),"")</f>
        <v/>
      </c>
      <c r="D117" s="38" t="str">
        <f>_xlfn.IFNA(INDEX('RD3 XCO Sheps'!$I$2:$I$190,MATCH(Men_5[[#This Row],[Rider]],'RD3 XCO Sheps'!$F$2:$F$190,0)),"")</f>
        <v/>
      </c>
      <c r="E117" s="38" t="str">
        <f>_xlfn.IFNA(INDEX('RD4 Ohalloran'!$I$2:$I$180,MATCH(Men_5[[#This Row],[Rider]],'RD4 Ohalloran'!$F$2:$F$180,0)),"")</f>
        <v/>
      </c>
      <c r="F117" s="38" t="str">
        <f>_xlfn.IFNA(INDEX('RD5 Craigburn'!$I$2:$I$164,MATCH(Men_5[[#This Row],[Rider]],'RD5 Craigburn'!$F$2:$F$164,0)),"")</f>
        <v/>
      </c>
      <c r="G117" s="38" t="str">
        <f>_xlfn.IFNA(INDEX('RD6 Kinchina'!$I$2:$I$200,MATCH(Men_5[[#This Row],[Rider]],'RD6 Kinchina'!$F$2:$F$200,0)),"")</f>
        <v/>
      </c>
      <c r="H117" s="38" t="str">
        <f>_xlfn.IFNA(INDEX('RD7 O''Hallaron'!$I$2:$I$190,MATCH(Men_5[[#This Row],[Rider]],'RD7 O''Hallaron'!$F$2:$F$201,0)),"")</f>
        <v/>
      </c>
      <c r="I117" s="38" t="str">
        <f>_xlfn.IFNA(INDEX('RD8 Fox Creek'!$I$2:$I$204,MATCH(Men_5[[#This Row],[Rider]],'RD8 Fox Creek'!$F$2:$F$204,0)),"")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0</v>
      </c>
      <c r="L117" s="59">
        <f>3-COUNTBLANK(Men_5[[#This Row],[RD1 XCC Eagle]:[RD3 XCO Sheps]])</f>
        <v>0</v>
      </c>
      <c r="M117" s="59">
        <f>4-COUNTBLANK(Men_5[[#This Row],[RD4 XCO Ohal]:[RD7 XCO O''Halloran]])</f>
        <v>0</v>
      </c>
      <c r="N117" s="59">
        <f>2-COUNTBLANK(Men_5[[#This Row],[RD8 XCO Fox Creek]:[RD9 XCO Willowie]])</f>
        <v>0</v>
      </c>
      <c r="O117" s="59" cm="1">
        <f t="array" ref="O117">IF(Men_5[[#This Row],[Number of Rounds]]&lt;=6,SUM(IF(ISNA(B117:J117),0,B117:J117)),SUM(LARGE(B117:J117,{1,2,3,4,5,6})))</f>
        <v>0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Fox Creek]:[RD9 XCO Willowie]])</f>
        <v>0</v>
      </c>
      <c r="R117" s="59">
        <f>Men_5[[#This Row],[Best 6 of 8 Overall]]+Men_5[[#This Row],[Best 3 of 4 XCM]]+Men_5[[#This Row],[Total of 2 XCO]]</f>
        <v>0</v>
      </c>
      <c r="S117" s="134" cm="1">
        <f t="array" ref="S117">68-SUM(IF(O117&gt;$O$18:$O$212,1/COUNTIF($O$18:$O$212,$O$18:$O$212)))</f>
        <v>68</v>
      </c>
    </row>
    <row r="118" spans="1:19" ht="16" hidden="1" x14ac:dyDescent="0.2">
      <c r="A118" s="103"/>
      <c r="B118" s="38" t="str">
        <f>_xlfn.IFNA(INDEX('RD1 Eagle'!$I$2:$I$154,MATCH(Men_5[[#This Row],[Rider]],'RD1 Eagle'!$F$2:$F$154,0)),"")</f>
        <v/>
      </c>
      <c r="C118" s="38" t="str">
        <f>_xlfn.IFNA(INDEX('RD2 Shepherds'!$I$2:$I$143,MATCH(Men_5[[#This Row],[Rider]],'RD2 Shepherds'!$F$2:$F$143,0)),"")</f>
        <v/>
      </c>
      <c r="D118" s="38" t="str">
        <f>_xlfn.IFNA(INDEX('RD3 XCO Sheps'!$I$2:$I$190,MATCH(Men_5[[#This Row],[Rider]],'RD3 XCO Sheps'!$F$2:$F$190,0)),"")</f>
        <v/>
      </c>
      <c r="E118" s="38" t="str">
        <f>_xlfn.IFNA(INDEX('RD4 Ohalloran'!$I$2:$I$180,MATCH(Men_5[[#This Row],[Rider]],'RD4 Ohalloran'!$F$2:$F$180,0)),"")</f>
        <v/>
      </c>
      <c r="F118" s="38" t="str">
        <f>_xlfn.IFNA(INDEX('RD5 Craigburn'!$I$2:$I$164,MATCH(Men_5[[#This Row],[Rider]],'RD5 Craigburn'!$F$2:$F$164,0)),"")</f>
        <v/>
      </c>
      <c r="G118" s="38" t="str">
        <f>_xlfn.IFNA(INDEX('RD6 Kinchina'!$I$2:$I$200,MATCH(Men_5[[#This Row],[Rider]],'RD6 Kinchina'!$F$2:$F$200,0)),"")</f>
        <v/>
      </c>
      <c r="H118" s="38" t="str">
        <f>_xlfn.IFNA(INDEX('RD7 O''Hallaron'!$I$2:$I$190,MATCH(Men_5[[#This Row],[Rider]],'RD7 O''Hallaron'!$F$2:$F$201,0)),"")</f>
        <v/>
      </c>
      <c r="I118" s="38" t="str">
        <f>_xlfn.IFNA(INDEX('RD8 Fox Creek'!$I$2:$I$204,MATCH(Men_5[[#This Row],[Rider]],'RD8 Fox Creek'!$F$2:$F$204,0)),"")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0</v>
      </c>
      <c r="L118" s="59">
        <f>3-COUNTBLANK(Men_5[[#This Row],[RD1 XCC Eagle]:[RD3 XCO Sheps]])</f>
        <v>0</v>
      </c>
      <c r="M118" s="59">
        <f>4-COUNTBLANK(Men_5[[#This Row],[RD4 XCO Ohal]:[RD7 XCO O''Halloran]])</f>
        <v>0</v>
      </c>
      <c r="N118" s="59">
        <f>2-COUNTBLANK(Men_5[[#This Row],[RD8 XCO Fox Creek]:[RD9 XCO Willowie]])</f>
        <v>0</v>
      </c>
      <c r="O118" s="59" cm="1">
        <f t="array" ref="O118">IF(Men_5[[#This Row],[Number of Rounds]]&lt;=6,SUM(IF(ISNA(B118:J118),0,B118:J118)),SUM(LARGE(B118:J118,{1,2,3,4,5,6})))</f>
        <v>0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Fox Creek]:[RD9 XCO Willowie]])</f>
        <v>0</v>
      </c>
      <c r="R118" s="59">
        <f>Men_5[[#This Row],[Best 6 of 8 Overall]]+Men_5[[#This Row],[Best 3 of 4 XCM]]+Men_5[[#This Row],[Total of 2 XCO]]</f>
        <v>0</v>
      </c>
      <c r="S118" s="134" cm="1">
        <f t="array" ref="S118">68-SUM(IF(O118&gt;$O$18:$O$212,1/COUNTIF($O$18:$O$212,$O$18:$O$212)))</f>
        <v>68</v>
      </c>
    </row>
    <row r="119" spans="1:19" ht="16" hidden="1" x14ac:dyDescent="0.2">
      <c r="A119" s="103"/>
      <c r="B119" s="38" t="str">
        <f>_xlfn.IFNA(INDEX('RD1 Eagle'!$I$2:$I$154,MATCH(Men_5[[#This Row],[Rider]],'RD1 Eagle'!$F$2:$F$154,0)),"")</f>
        <v/>
      </c>
      <c r="C119" s="38" t="str">
        <f>_xlfn.IFNA(INDEX('RD2 Shepherds'!$I$2:$I$143,MATCH(Men_5[[#This Row],[Rider]],'RD2 Shepherds'!$F$2:$F$143,0)),"")</f>
        <v/>
      </c>
      <c r="D119" s="38" t="str">
        <f>_xlfn.IFNA(INDEX('RD3 XCO Sheps'!$I$2:$I$190,MATCH(Men_5[[#This Row],[Rider]],'RD3 XCO Sheps'!$F$2:$F$190,0)),"")</f>
        <v/>
      </c>
      <c r="E119" s="38" t="str">
        <f>_xlfn.IFNA(INDEX('RD4 Ohalloran'!$I$2:$I$180,MATCH(Men_5[[#This Row],[Rider]],'RD4 Ohalloran'!$F$2:$F$180,0)),"")</f>
        <v/>
      </c>
      <c r="F119" s="38" t="str">
        <f>_xlfn.IFNA(INDEX('RD5 Craigburn'!$I$2:$I$164,MATCH(Men_5[[#This Row],[Rider]],'RD5 Craigburn'!$F$2:$F$164,0)),"")</f>
        <v/>
      </c>
      <c r="G119" s="38" t="str">
        <f>_xlfn.IFNA(INDEX('RD6 Kinchina'!$I$2:$I$200,MATCH(Men_5[[#This Row],[Rider]],'RD6 Kinchina'!$F$2:$F$200,0)),"")</f>
        <v/>
      </c>
      <c r="H119" s="38" t="str">
        <f>_xlfn.IFNA(INDEX('RD7 O''Hallaron'!$I$2:$I$190,MATCH(Men_5[[#This Row],[Rider]],'RD7 O''Hallaron'!$F$2:$F$201,0)),"")</f>
        <v/>
      </c>
      <c r="I119" s="38" t="str">
        <f>_xlfn.IFNA(INDEX('RD8 Fox Creek'!$I$2:$I$204,MATCH(Men_5[[#This Row],[Rider]],'RD8 Fox Creek'!$F$2:$F$204,0)),"")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0</v>
      </c>
      <c r="L119" s="59">
        <f>3-COUNTBLANK(Men_5[[#This Row],[RD1 XCC Eagle]:[RD3 XCO Sheps]])</f>
        <v>0</v>
      </c>
      <c r="M119" s="59">
        <f>4-COUNTBLANK(Men_5[[#This Row],[RD4 XCO Ohal]:[RD7 XCO O''Halloran]])</f>
        <v>0</v>
      </c>
      <c r="N119" s="59">
        <f>2-COUNTBLANK(Men_5[[#This Row],[RD8 XCO Fox Creek]:[RD9 XCO Willowie]])</f>
        <v>0</v>
      </c>
      <c r="O119" s="59" cm="1">
        <f t="array" ref="O119">IF(Men_5[[#This Row],[Number of Rounds]]&lt;=6,SUM(IF(ISNA(B119:J119),0,B119:J119)),SUM(LARGE(B119:J119,{1,2,3,4,5,6})))</f>
        <v>0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Fox Creek]:[RD9 XCO Willowie]])</f>
        <v>0</v>
      </c>
      <c r="R119" s="59">
        <f>Men_5[[#This Row],[Best 6 of 8 Overall]]+Men_5[[#This Row],[Best 3 of 4 XCM]]+Men_5[[#This Row],[Total of 2 XCO]]</f>
        <v>0</v>
      </c>
      <c r="S119" s="134" cm="1">
        <f t="array" ref="S119">68-SUM(IF(O119&gt;$O$18:$O$212,1/COUNTIF($O$18:$O$212,$O$18:$O$212)))</f>
        <v>68</v>
      </c>
    </row>
    <row r="120" spans="1:19" ht="16" hidden="1" x14ac:dyDescent="0.2">
      <c r="A120" s="103"/>
      <c r="B120" s="38" t="str">
        <f>_xlfn.IFNA(INDEX('RD1 Eagle'!$I$2:$I$154,MATCH(Men_5[[#This Row],[Rider]],'RD1 Eagle'!$F$2:$F$154,0)),"")</f>
        <v/>
      </c>
      <c r="C120" s="38" t="str">
        <f>_xlfn.IFNA(INDEX('RD2 Shepherds'!$I$2:$I$143,MATCH(Men_5[[#This Row],[Rider]],'RD2 Shepherds'!$F$2:$F$143,0)),"")</f>
        <v/>
      </c>
      <c r="D120" s="38" t="str">
        <f>_xlfn.IFNA(INDEX('RD3 XCO Sheps'!$I$2:$I$190,MATCH(Men_5[[#This Row],[Rider]],'RD3 XCO Sheps'!$F$2:$F$190,0)),"")</f>
        <v/>
      </c>
      <c r="E120" s="38" t="str">
        <f>_xlfn.IFNA(INDEX('RD4 Ohalloran'!$I$2:$I$180,MATCH(Men_5[[#This Row],[Rider]],'RD4 Ohalloran'!$F$2:$F$180,0)),"")</f>
        <v/>
      </c>
      <c r="F120" s="38" t="str">
        <f>_xlfn.IFNA(INDEX('RD5 Craigburn'!$I$2:$I$164,MATCH(Men_5[[#This Row],[Rider]],'RD5 Craigburn'!$F$2:$F$164,0)),"")</f>
        <v/>
      </c>
      <c r="G120" s="38" t="str">
        <f>_xlfn.IFNA(INDEX('RD6 Kinchina'!$I$2:$I$200,MATCH(Men_5[[#This Row],[Rider]],'RD6 Kinchina'!$F$2:$F$200,0)),"")</f>
        <v/>
      </c>
      <c r="H120" s="38" t="str">
        <f>_xlfn.IFNA(INDEX('RD7 O''Hallaron'!$I$2:$I$190,MATCH(Men_5[[#This Row],[Rider]],'RD7 O''Hallaron'!$F$2:$F$201,0)),"")</f>
        <v/>
      </c>
      <c r="I120" s="38" t="str">
        <f>_xlfn.IFNA(INDEX('RD8 Fox Creek'!$I$2:$I$204,MATCH(Men_5[[#This Row],[Rider]],'RD8 Fox Creek'!$F$2:$F$204,0)),"")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0</v>
      </c>
      <c r="L120" s="59">
        <f>3-COUNTBLANK(Men_5[[#This Row],[RD1 XCC Eagle]:[RD3 XCO Sheps]])</f>
        <v>0</v>
      </c>
      <c r="M120" s="59">
        <f>4-COUNTBLANK(Men_5[[#This Row],[RD4 XCO Ohal]:[RD7 XCO O''Halloran]])</f>
        <v>0</v>
      </c>
      <c r="N120" s="59">
        <f>2-COUNTBLANK(Men_5[[#This Row],[RD8 XCO Fox Creek]:[RD9 XCO Willowie]])</f>
        <v>0</v>
      </c>
      <c r="O120" s="59" cm="1">
        <f t="array" ref="O120">IF(Men_5[[#This Row],[Number of Rounds]]&lt;=6,SUM(IF(ISNA(B120:J120),0,B120:J120)),SUM(LARGE(B120:J120,{1,2,3,4,5,6})))</f>
        <v>0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Fox Creek]:[RD9 XCO Willowie]])</f>
        <v>0</v>
      </c>
      <c r="R120" s="59">
        <f>Men_5[[#This Row],[Best 6 of 8 Overall]]+Men_5[[#This Row],[Best 3 of 4 XCM]]+Men_5[[#This Row],[Total of 2 XCO]]</f>
        <v>0</v>
      </c>
      <c r="S120" s="134" cm="1">
        <f t="array" ref="S120">68-SUM(IF(O120&gt;$O$18:$O$212,1/COUNTIF($O$18:$O$212,$O$18:$O$212)))</f>
        <v>68</v>
      </c>
    </row>
    <row r="121" spans="1:19" ht="16" hidden="1" x14ac:dyDescent="0.2">
      <c r="A121" s="103"/>
      <c r="B121" s="38" t="str">
        <f>_xlfn.IFNA(INDEX('RD1 Eagle'!$I$2:$I$154,MATCH(Men_5[[#This Row],[Rider]],'RD1 Eagle'!$F$2:$F$154,0)),"")</f>
        <v/>
      </c>
      <c r="C121" s="38" t="str">
        <f>_xlfn.IFNA(INDEX('RD2 Shepherds'!$I$2:$I$143,MATCH(Men_5[[#This Row],[Rider]],'RD2 Shepherds'!$F$2:$F$143,0)),"")</f>
        <v/>
      </c>
      <c r="D121" s="38" t="str">
        <f>_xlfn.IFNA(INDEX('RD3 XCO Sheps'!$I$2:$I$190,MATCH(Men_5[[#This Row],[Rider]],'RD3 XCO Sheps'!$F$2:$F$190,0)),"")</f>
        <v/>
      </c>
      <c r="E121" s="38" t="str">
        <f>_xlfn.IFNA(INDEX('RD4 Ohalloran'!$I$2:$I$180,MATCH(Men_5[[#This Row],[Rider]],'RD4 Ohalloran'!$F$2:$F$180,0)),"")</f>
        <v/>
      </c>
      <c r="F121" s="38" t="str">
        <f>_xlfn.IFNA(INDEX('RD5 Craigburn'!$I$2:$I$164,MATCH(Men_5[[#This Row],[Rider]],'RD5 Craigburn'!$F$2:$F$164,0)),"")</f>
        <v/>
      </c>
      <c r="G121" s="38" t="str">
        <f>_xlfn.IFNA(INDEX('RD6 Kinchina'!$I$2:$I$200,MATCH(Men_5[[#This Row],[Rider]],'RD6 Kinchina'!$F$2:$F$200,0)),"")</f>
        <v/>
      </c>
      <c r="H121" s="38" t="str">
        <f>_xlfn.IFNA(INDEX('RD7 O''Hallaron'!$I$2:$I$190,MATCH(Men_5[[#This Row],[Rider]],'RD7 O''Hallaron'!$F$2:$F$201,0)),"")</f>
        <v/>
      </c>
      <c r="I121" s="38" t="str">
        <f>_xlfn.IFNA(INDEX('RD8 Fox Creek'!$I$2:$I$204,MATCH(Men_5[[#This Row],[Rider]],'RD8 Fox Creek'!$F$2:$F$204,0)),"")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0</v>
      </c>
      <c r="L121" s="59">
        <f>3-COUNTBLANK(Men_5[[#This Row],[RD1 XCC Eagle]:[RD3 XCO Sheps]])</f>
        <v>0</v>
      </c>
      <c r="M121" s="59">
        <f>4-COUNTBLANK(Men_5[[#This Row],[RD4 XCO Ohal]:[RD7 XCO O''Halloran]])</f>
        <v>0</v>
      </c>
      <c r="N121" s="59">
        <f>2-COUNTBLANK(Men_5[[#This Row],[RD8 XCO Fox Creek]:[RD9 XCO Willowie]])</f>
        <v>0</v>
      </c>
      <c r="O121" s="59" cm="1">
        <f t="array" ref="O121">IF(Men_5[[#This Row],[Number of Rounds]]&lt;=6,SUM(IF(ISNA(B121:J121),0,B121:J121)),SUM(LARGE(B121:J121,{1,2,3,4,5,6})))</f>
        <v>0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Fox Creek]:[RD9 XCO Willowie]])</f>
        <v>0</v>
      </c>
      <c r="R121" s="59">
        <f>Men_5[[#This Row],[Best 6 of 8 Overall]]+Men_5[[#This Row],[Best 3 of 4 XCM]]+Men_5[[#This Row],[Total of 2 XCO]]</f>
        <v>0</v>
      </c>
      <c r="S121" s="134" cm="1">
        <f t="array" ref="S121">68-SUM(IF(O121&gt;$O$18:$O$212,1/COUNTIF($O$18:$O$212,$O$18:$O$212)))</f>
        <v>68</v>
      </c>
    </row>
    <row r="122" spans="1:19" ht="16" hidden="1" x14ac:dyDescent="0.2">
      <c r="A122" s="103"/>
      <c r="B122" s="38" t="str">
        <f>_xlfn.IFNA(INDEX('RD1 Eagle'!$I$2:$I$154,MATCH(Men_5[[#This Row],[Rider]],'RD1 Eagle'!$F$2:$F$154,0)),"")</f>
        <v/>
      </c>
      <c r="C122" s="38" t="str">
        <f>_xlfn.IFNA(INDEX('RD2 Shepherds'!$I$2:$I$143,MATCH(Men_5[[#This Row],[Rider]],'RD2 Shepherds'!$F$2:$F$143,0)),"")</f>
        <v/>
      </c>
      <c r="D122" s="38" t="str">
        <f>_xlfn.IFNA(INDEX('RD3 XCO Sheps'!$I$2:$I$190,MATCH(Men_5[[#This Row],[Rider]],'RD3 XCO Sheps'!$F$2:$F$190,0)),"")</f>
        <v/>
      </c>
      <c r="E122" s="38" t="str">
        <f>_xlfn.IFNA(INDEX('RD4 Ohalloran'!$I$2:$I$180,MATCH(Men_5[[#This Row],[Rider]],'RD4 Ohalloran'!$F$2:$F$180,0)),"")</f>
        <v/>
      </c>
      <c r="F122" s="38" t="str">
        <f>_xlfn.IFNA(INDEX('RD5 Craigburn'!$I$2:$I$164,MATCH(Men_5[[#This Row],[Rider]],'RD5 Craigburn'!$F$2:$F$164,0)),"")</f>
        <v/>
      </c>
      <c r="G122" s="38" t="str">
        <f>_xlfn.IFNA(INDEX('RD6 Kinchina'!$I$2:$I$200,MATCH(Men_5[[#This Row],[Rider]],'RD6 Kinchina'!$F$2:$F$200,0)),"")</f>
        <v/>
      </c>
      <c r="H122" s="38" t="str">
        <f>_xlfn.IFNA(INDEX('RD7 O''Hallaron'!$I$2:$I$190,MATCH(Men_5[[#This Row],[Rider]],'RD7 O''Hallaron'!$F$2:$F$201,0)),"")</f>
        <v/>
      </c>
      <c r="I122" s="38" t="str">
        <f>_xlfn.IFNA(INDEX('RD8 Fox Creek'!$I$2:$I$204,MATCH(Men_5[[#This Row],[Rider]],'RD8 Fox Creek'!$F$2:$F$204,0)),"")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0</v>
      </c>
      <c r="L122" s="59">
        <f>3-COUNTBLANK(Men_5[[#This Row],[RD1 XCC Eagle]:[RD3 XCO Sheps]])</f>
        <v>0</v>
      </c>
      <c r="M122" s="59">
        <f>4-COUNTBLANK(Men_5[[#This Row],[RD4 XCO Ohal]:[RD7 XCO O''Halloran]])</f>
        <v>0</v>
      </c>
      <c r="N122" s="59">
        <f>2-COUNTBLANK(Men_5[[#This Row],[RD8 XCO Fox Creek]:[RD9 XCO Willowie]])</f>
        <v>0</v>
      </c>
      <c r="O122" s="59" cm="1">
        <f t="array" ref="O122">IF(Men_5[[#This Row],[Number of Rounds]]&lt;=6,SUM(IF(ISNA(B122:J122),0,B122:J122)),SUM(LARGE(B122:J122,{1,2,3,4,5,6})))</f>
        <v>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Fox Creek]:[RD9 XCO Willowie]])</f>
        <v>0</v>
      </c>
      <c r="R122" s="59">
        <f>Men_5[[#This Row],[Best 6 of 8 Overall]]+Men_5[[#This Row],[Best 3 of 4 XCM]]+Men_5[[#This Row],[Total of 2 XCO]]</f>
        <v>0</v>
      </c>
      <c r="S122" s="134" cm="1">
        <f t="array" ref="S122">68-SUM(IF(O122&gt;$O$18:$O$212,1/COUNTIF($O$18:$O$212,$O$18:$O$212)))</f>
        <v>68</v>
      </c>
    </row>
    <row r="123" spans="1:19" ht="16" hidden="1" x14ac:dyDescent="0.2">
      <c r="A123" s="103"/>
      <c r="B123" s="38" t="str">
        <f>_xlfn.IFNA(INDEX('RD1 Eagle'!$I$2:$I$154,MATCH(Men_5[[#This Row],[Rider]],'RD1 Eagle'!$F$2:$F$154,0)),"")</f>
        <v/>
      </c>
      <c r="C123" s="38" t="str">
        <f>_xlfn.IFNA(INDEX('RD2 Shepherds'!$I$2:$I$143,MATCH(Men_5[[#This Row],[Rider]],'RD2 Shepherds'!$F$2:$F$143,0)),"")</f>
        <v/>
      </c>
      <c r="D123" s="38" t="str">
        <f>_xlfn.IFNA(INDEX('RD3 XCO Sheps'!$I$2:$I$190,MATCH(Men_5[[#This Row],[Rider]],'RD3 XCO Sheps'!$F$2:$F$190,0)),"")</f>
        <v/>
      </c>
      <c r="E123" s="38" t="str">
        <f>_xlfn.IFNA(INDEX('RD4 Ohalloran'!$I$2:$I$180,MATCH(Men_5[[#This Row],[Rider]],'RD4 Ohalloran'!$F$2:$F$180,0)),"")</f>
        <v/>
      </c>
      <c r="F123" s="38" t="str">
        <f>_xlfn.IFNA(INDEX('RD5 Craigburn'!$I$2:$I$164,MATCH(Men_5[[#This Row],[Rider]],'RD5 Craigburn'!$F$2:$F$164,0)),"")</f>
        <v/>
      </c>
      <c r="G123" s="38" t="str">
        <f>_xlfn.IFNA(INDEX('RD6 Kinchina'!$I$2:$I$200,MATCH(Men_5[[#This Row],[Rider]],'RD6 Kinchina'!$F$2:$F$200,0)),"")</f>
        <v/>
      </c>
      <c r="H123" s="38" t="str">
        <f>_xlfn.IFNA(INDEX('RD7 O''Hallaron'!$I$2:$I$190,MATCH(Men_5[[#This Row],[Rider]],'RD7 O''Hallaron'!$F$2:$F$201,0)),"")</f>
        <v/>
      </c>
      <c r="I123" s="38" t="str">
        <f>_xlfn.IFNA(INDEX('RD8 Fox Creek'!$I$2:$I$204,MATCH(Men_5[[#This Row],[Rider]],'RD8 Fox Creek'!$F$2:$F$204,0)),"")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0</v>
      </c>
      <c r="L123" s="59">
        <f>3-COUNTBLANK(Men_5[[#This Row],[RD1 XCC Eagle]:[RD3 XCO Sheps]])</f>
        <v>0</v>
      </c>
      <c r="M123" s="59">
        <f>4-COUNTBLANK(Men_5[[#This Row],[RD4 XCO Ohal]:[RD7 XCO O''Halloran]])</f>
        <v>0</v>
      </c>
      <c r="N123" s="59">
        <f>2-COUNTBLANK(Men_5[[#This Row],[RD8 XCO Fox Creek]:[RD9 XCO Willowie]])</f>
        <v>0</v>
      </c>
      <c r="O123" s="59" cm="1">
        <f t="array" ref="O123">IF(Men_5[[#This Row],[Number of Rounds]]&lt;=6,SUM(IF(ISNA(B123:J123),0,B123:J123)),SUM(LARGE(B123:J123,{1,2,3,4,5,6})))</f>
        <v>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Fox Creek]:[RD9 XCO Willowie]])</f>
        <v>0</v>
      </c>
      <c r="R123" s="59">
        <f>Men_5[[#This Row],[Best 6 of 8 Overall]]+Men_5[[#This Row],[Best 3 of 4 XCM]]+Men_5[[#This Row],[Total of 2 XCO]]</f>
        <v>0</v>
      </c>
      <c r="S123" s="134" cm="1">
        <f t="array" ref="S123">68-SUM(IF(O123&gt;$O$18:$O$212,1/COUNTIF($O$18:$O$212,$O$18:$O$212)))</f>
        <v>68</v>
      </c>
    </row>
    <row r="124" spans="1:19" ht="16" hidden="1" x14ac:dyDescent="0.2">
      <c r="A124" s="103"/>
      <c r="B124" s="38" t="str">
        <f>_xlfn.IFNA(INDEX('RD1 Eagle'!$I$2:$I$154,MATCH(Men_5[[#This Row],[Rider]],'RD1 Eagle'!$F$2:$F$154,0)),"")</f>
        <v/>
      </c>
      <c r="C124" s="38" t="str">
        <f>_xlfn.IFNA(INDEX('RD2 Shepherds'!$I$2:$I$143,MATCH(Men_5[[#This Row],[Rider]],'RD2 Shepherds'!$F$2:$F$143,0)),"")</f>
        <v/>
      </c>
      <c r="D124" s="38" t="str">
        <f>_xlfn.IFNA(INDEX('RD3 XCO Sheps'!$I$2:$I$190,MATCH(Men_5[[#This Row],[Rider]],'RD3 XCO Sheps'!$F$2:$F$190,0)),"")</f>
        <v/>
      </c>
      <c r="E124" s="38" t="str">
        <f>_xlfn.IFNA(INDEX('RD4 Ohalloran'!$I$2:$I$180,MATCH(Men_5[[#This Row],[Rider]],'RD4 Ohalloran'!$F$2:$F$180,0)),"")</f>
        <v/>
      </c>
      <c r="F124" s="38" t="str">
        <f>_xlfn.IFNA(INDEX('RD5 Craigburn'!$I$2:$I$164,MATCH(Men_5[[#This Row],[Rider]],'RD5 Craigburn'!$F$2:$F$164,0)),"")</f>
        <v/>
      </c>
      <c r="G124" s="38" t="str">
        <f>_xlfn.IFNA(INDEX('RD6 Kinchina'!$I$2:$I$200,MATCH(Men_5[[#This Row],[Rider]],'RD6 Kinchina'!$F$2:$F$200,0)),"")</f>
        <v/>
      </c>
      <c r="H124" s="38" t="str">
        <f>_xlfn.IFNA(INDEX('RD7 O''Hallaron'!$I$2:$I$190,MATCH(Men_5[[#This Row],[Rider]],'RD7 O''Hallaron'!$F$2:$F$201,0)),"")</f>
        <v/>
      </c>
      <c r="I124" s="38" t="str">
        <f>_xlfn.IFNA(INDEX('RD8 Fox Creek'!$I$2:$I$204,MATCH(Men_5[[#This Row],[Rider]],'RD8 Fox Creek'!$F$2:$F$204,0)),"")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0</v>
      </c>
      <c r="L124" s="59">
        <f>3-COUNTBLANK(Men_5[[#This Row],[RD1 XCC Eagle]:[RD3 XCO Sheps]])</f>
        <v>0</v>
      </c>
      <c r="M124" s="59">
        <f>4-COUNTBLANK(Men_5[[#This Row],[RD4 XCO Ohal]:[RD7 XCO O''Halloran]])</f>
        <v>0</v>
      </c>
      <c r="N124" s="59">
        <f>2-COUNTBLANK(Men_5[[#This Row],[RD8 XCO Fox Creek]:[RD9 XCO Willowie]])</f>
        <v>0</v>
      </c>
      <c r="O124" s="59" cm="1">
        <f t="array" ref="O124">IF(Men_5[[#This Row],[Number of Rounds]]&lt;=6,SUM(IF(ISNA(B124:J124),0,B124:J124)),SUM(LARGE(B124:J124,{1,2,3,4,5,6})))</f>
        <v>0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Fox Creek]:[RD9 XCO Willowie]])</f>
        <v>0</v>
      </c>
      <c r="R124" s="59">
        <f>Men_5[[#This Row],[Best 6 of 8 Overall]]+Men_5[[#This Row],[Best 3 of 4 XCM]]+Men_5[[#This Row],[Total of 2 XCO]]</f>
        <v>0</v>
      </c>
      <c r="S124" s="134" cm="1">
        <f t="array" ref="S124">68-SUM(IF(O124&gt;$O$18:$O$212,1/COUNTIF($O$18:$O$212,$O$18:$O$212)))</f>
        <v>68</v>
      </c>
    </row>
    <row r="125" spans="1:19" ht="16" hidden="1" x14ac:dyDescent="0.2">
      <c r="A125" s="103"/>
      <c r="B125" s="38" t="str">
        <f>_xlfn.IFNA(INDEX('RD1 Eagle'!$I$2:$I$154,MATCH(Men_5[[#This Row],[Rider]],'RD1 Eagle'!$F$2:$F$154,0)),"")</f>
        <v/>
      </c>
      <c r="C125" s="38" t="str">
        <f>_xlfn.IFNA(INDEX('RD2 Shepherds'!$I$2:$I$143,MATCH(Men_5[[#This Row],[Rider]],'RD2 Shepherds'!$F$2:$F$143,0)),"")</f>
        <v/>
      </c>
      <c r="D125" s="38" t="str">
        <f>_xlfn.IFNA(INDEX('RD3 XCO Sheps'!$I$2:$I$190,MATCH(Men_5[[#This Row],[Rider]],'RD3 XCO Sheps'!$F$2:$F$190,0)),"")</f>
        <v/>
      </c>
      <c r="E125" s="38" t="str">
        <f>_xlfn.IFNA(INDEX('RD4 Ohalloran'!$I$2:$I$180,MATCH(Men_5[[#This Row],[Rider]],'RD4 Ohalloran'!$F$2:$F$180,0)),"")</f>
        <v/>
      </c>
      <c r="F125" s="38" t="str">
        <f>_xlfn.IFNA(INDEX('RD5 Craigburn'!$I$2:$I$164,MATCH(Men_5[[#This Row],[Rider]],'RD5 Craigburn'!$F$2:$F$164,0)),"")</f>
        <v/>
      </c>
      <c r="G125" s="38" t="str">
        <f>_xlfn.IFNA(INDEX('RD6 Kinchina'!$I$2:$I$200,MATCH(Men_5[[#This Row],[Rider]],'RD6 Kinchina'!$F$2:$F$200,0)),"")</f>
        <v/>
      </c>
      <c r="H125" s="38" t="str">
        <f>_xlfn.IFNA(INDEX('RD7 O''Hallaron'!$I$2:$I$190,MATCH(Men_5[[#This Row],[Rider]],'RD7 O''Hallaron'!$F$2:$F$201,0)),"")</f>
        <v/>
      </c>
      <c r="I125" s="38" t="str">
        <f>_xlfn.IFNA(INDEX('RD8 Fox Creek'!$I$2:$I$204,MATCH(Men_5[[#This Row],[Rider]],'RD8 Fox Creek'!$F$2:$F$204,0)),"")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0</v>
      </c>
      <c r="L125" s="59">
        <f>3-COUNTBLANK(Men_5[[#This Row],[RD1 XCC Eagle]:[RD3 XCO Sheps]])</f>
        <v>0</v>
      </c>
      <c r="M125" s="59">
        <f>4-COUNTBLANK(Men_5[[#This Row],[RD4 XCO Ohal]:[RD7 XCO O''Halloran]])</f>
        <v>0</v>
      </c>
      <c r="N125" s="59">
        <f>2-COUNTBLANK(Men_5[[#This Row],[RD8 XCO Fox Creek]:[RD9 XCO Willowie]])</f>
        <v>0</v>
      </c>
      <c r="O125" s="59" cm="1">
        <f t="array" ref="O125">IF(Men_5[[#This Row],[Number of Rounds]]&lt;=6,SUM(IF(ISNA(B125:J125),0,B125:J125)),SUM(LARGE(B125:J125,{1,2,3,4,5,6})))</f>
        <v>0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Fox Creek]:[RD9 XCO Willowie]])</f>
        <v>0</v>
      </c>
      <c r="R125" s="59">
        <f>Men_5[[#This Row],[Best 6 of 8 Overall]]+Men_5[[#This Row],[Best 3 of 4 XCM]]+Men_5[[#This Row],[Total of 2 XCO]]</f>
        <v>0</v>
      </c>
      <c r="S125" s="134" cm="1">
        <f t="array" ref="S125">68-SUM(IF(O125&gt;$O$18:$O$212,1/COUNTIF($O$18:$O$212,$O$18:$O$212)))</f>
        <v>68</v>
      </c>
    </row>
    <row r="126" spans="1:19" ht="16" hidden="1" x14ac:dyDescent="0.2">
      <c r="A126" s="103"/>
      <c r="B126" s="38" t="str">
        <f>_xlfn.IFNA(INDEX('RD1 Eagle'!$I$2:$I$154,MATCH(Men_5[[#This Row],[Rider]],'RD1 Eagle'!$F$2:$F$154,0)),"")</f>
        <v/>
      </c>
      <c r="C126" s="38" t="str">
        <f>_xlfn.IFNA(INDEX('RD2 Shepherds'!$I$2:$I$143,MATCH(Men_5[[#This Row],[Rider]],'RD2 Shepherds'!$F$2:$F$143,0)),"")</f>
        <v/>
      </c>
      <c r="D126" s="38" t="str">
        <f>_xlfn.IFNA(INDEX('RD3 XCO Sheps'!$I$2:$I$190,MATCH(Men_5[[#This Row],[Rider]],'RD3 XCO Sheps'!$F$2:$F$190,0)),"")</f>
        <v/>
      </c>
      <c r="E126" s="38" t="str">
        <f>_xlfn.IFNA(INDEX('RD4 Ohalloran'!$I$2:$I$180,MATCH(Men_5[[#This Row],[Rider]],'RD4 Ohalloran'!$F$2:$F$180,0)),"")</f>
        <v/>
      </c>
      <c r="F126" s="38" t="str">
        <f>_xlfn.IFNA(INDEX('RD5 Craigburn'!$I$2:$I$164,MATCH(Men_5[[#This Row],[Rider]],'RD5 Craigburn'!$F$2:$F$164,0)),"")</f>
        <v/>
      </c>
      <c r="G126" s="38" t="str">
        <f>_xlfn.IFNA(INDEX('RD6 Kinchina'!$I$2:$I$200,MATCH(Men_5[[#This Row],[Rider]],'RD6 Kinchina'!$F$2:$F$200,0)),"")</f>
        <v/>
      </c>
      <c r="H126" s="38" t="str">
        <f>_xlfn.IFNA(INDEX('RD7 O''Hallaron'!$I$2:$I$190,MATCH(Men_5[[#This Row],[Rider]],'RD7 O''Hallaron'!$F$2:$F$201,0)),"")</f>
        <v/>
      </c>
      <c r="I126" s="38" t="str">
        <f>_xlfn.IFNA(INDEX('RD8 Fox Creek'!$I$2:$I$204,MATCH(Men_5[[#This Row],[Rider]],'RD8 Fox Creek'!$F$2:$F$204,0)),"")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XCO Ohal]:[RD7 XCO O''Halloran]])</f>
        <v>0</v>
      </c>
      <c r="N126" s="59">
        <f>2-COUNTBLANK(Men_5[[#This Row],[RD8 XCO Fox Creek]:[RD9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Fox Creek]:[RD9 XCO Willowie]])</f>
        <v>0</v>
      </c>
      <c r="R126" s="59">
        <f>Men_5[[#This Row],[Best 6 of 8 Overall]]+Men_5[[#This Row],[Best 3 of 4 XCM]]+Men_5[[#This Row],[Total of 2 XCO]]</f>
        <v>0</v>
      </c>
      <c r="S126" s="134" cm="1">
        <f t="array" ref="S126">68-SUM(IF(O126&gt;$O$18:$O$212,1/COUNTIF($O$18:$O$212,$O$18:$O$212)))</f>
        <v>68</v>
      </c>
    </row>
    <row r="127" spans="1:19" ht="16" hidden="1" x14ac:dyDescent="0.2">
      <c r="A127" s="103"/>
      <c r="B127" s="38" t="str">
        <f>_xlfn.IFNA(INDEX('RD1 Eagle'!$I$2:$I$154,MATCH(Men_5[[#This Row],[Rider]],'RD1 Eagle'!$F$2:$F$154,0)),"")</f>
        <v/>
      </c>
      <c r="C127" s="38" t="str">
        <f>_xlfn.IFNA(INDEX('RD2 Shepherds'!$I$2:$I$143,MATCH(Men_5[[#This Row],[Rider]],'RD2 Shepherds'!$F$2:$F$143,0)),"")</f>
        <v/>
      </c>
      <c r="D127" s="38" t="str">
        <f>_xlfn.IFNA(INDEX('RD3 XCO Sheps'!$I$2:$I$190,MATCH(Men_5[[#This Row],[Rider]],'RD3 XCO Sheps'!$F$2:$F$190,0)),"")</f>
        <v/>
      </c>
      <c r="E127" s="38" t="str">
        <f>_xlfn.IFNA(INDEX('RD4 Ohalloran'!$I$2:$I$180,MATCH(Men_5[[#This Row],[Rider]],'RD4 Ohalloran'!$F$2:$F$180,0)),"")</f>
        <v/>
      </c>
      <c r="F127" s="38" t="str">
        <f>_xlfn.IFNA(INDEX('RD5 Craigburn'!$I$2:$I$164,MATCH(Men_5[[#This Row],[Rider]],'RD5 Craigburn'!$F$2:$F$164,0)),"")</f>
        <v/>
      </c>
      <c r="G127" s="38" t="str">
        <f>_xlfn.IFNA(INDEX('RD6 Kinchina'!$I$2:$I$200,MATCH(Men_5[[#This Row],[Rider]],'RD6 Kinchina'!$F$2:$F$200,0)),"")</f>
        <v/>
      </c>
      <c r="H127" s="38" t="str">
        <f>_xlfn.IFNA(INDEX('RD7 O''Hallaron'!$I$2:$I$190,MATCH(Men_5[[#This Row],[Rider]],'RD7 O''Hallaron'!$F$2:$F$201,0)),"")</f>
        <v/>
      </c>
      <c r="I127" s="38" t="str">
        <f>_xlfn.IFNA(INDEX('RD8 Fox Creek'!$I$2:$I$204,MATCH(Men_5[[#This Row],[Rider]],'RD8 Fox Creek'!$F$2:$F$204,0)),"")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XCO Ohal]:[RD7 XCO O''Halloran]])</f>
        <v>0</v>
      </c>
      <c r="N127" s="59">
        <f>2-COUNTBLANK(Men_5[[#This Row],[RD8 XCO Fox Creek]:[RD9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Fox Creek]:[RD9 XCO Willowie]])</f>
        <v>0</v>
      </c>
      <c r="R127" s="59">
        <f>Men_5[[#This Row],[Best 6 of 8 Overall]]+Men_5[[#This Row],[Best 3 of 4 XCM]]+Men_5[[#This Row],[Total of 2 XCO]]</f>
        <v>0</v>
      </c>
      <c r="S127" s="134" cm="1">
        <f t="array" ref="S127">68-SUM(IF(O127&gt;$O$18:$O$212,1/COUNTIF($O$18:$O$212,$O$18:$O$212)))</f>
        <v>68</v>
      </c>
    </row>
    <row r="128" spans="1:19" ht="16" hidden="1" x14ac:dyDescent="0.2">
      <c r="A128" s="103"/>
      <c r="B128" s="38" t="str">
        <f>_xlfn.IFNA(INDEX('RD1 Eagle'!$I$2:$I$154,MATCH(Men_5[[#This Row],[Rider]],'RD1 Eagle'!$F$2:$F$154,0)),"")</f>
        <v/>
      </c>
      <c r="C128" s="38" t="str">
        <f>_xlfn.IFNA(INDEX('RD2 Shepherds'!$I$2:$I$143,MATCH(Men_5[[#This Row],[Rider]],'RD2 Shepherds'!$F$2:$F$143,0)),"")</f>
        <v/>
      </c>
      <c r="D128" s="38" t="str">
        <f>_xlfn.IFNA(INDEX('RD3 XCO Sheps'!$I$2:$I$190,MATCH(Men_5[[#This Row],[Rider]],'RD3 XCO Sheps'!$F$2:$F$190,0)),"")</f>
        <v/>
      </c>
      <c r="E128" s="38" t="str">
        <f>_xlfn.IFNA(INDEX('RD4 Ohalloran'!$I$2:$I$180,MATCH(Men_5[[#This Row],[Rider]],'RD4 Ohalloran'!$F$2:$F$180,0)),"")</f>
        <v/>
      </c>
      <c r="F128" s="38" t="str">
        <f>_xlfn.IFNA(INDEX('RD5 Craigburn'!$I$2:$I$164,MATCH(Men_5[[#This Row],[Rider]],'RD5 Craigburn'!$F$2:$F$164,0)),"")</f>
        <v/>
      </c>
      <c r="G128" s="38" t="str">
        <f>_xlfn.IFNA(INDEX('RD6 Kinchina'!$I$2:$I$200,MATCH(Men_5[[#This Row],[Rider]],'RD6 Kinchina'!$F$2:$F$200,0)),"")</f>
        <v/>
      </c>
      <c r="H128" s="38" t="str">
        <f>_xlfn.IFNA(INDEX('RD7 O''Hallaron'!$I$2:$I$190,MATCH(Men_5[[#This Row],[Rider]],'RD7 O''Hallaron'!$F$2:$F$201,0)),"")</f>
        <v/>
      </c>
      <c r="I128" s="38" t="str">
        <f>_xlfn.IFNA(INDEX('RD8 Fox Creek'!$I$2:$I$204,MATCH(Men_5[[#This Row],[Rider]],'RD8 Fox Creek'!$F$2:$F$204,0)),"")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XCO Ohal]:[RD7 XCO O''Halloran]])</f>
        <v>0</v>
      </c>
      <c r="N128" s="59">
        <f>2-COUNTBLANK(Men_5[[#This Row],[RD8 XCO Fox Creek]:[RD9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Fox Creek]:[RD9 XCO Willowie]])</f>
        <v>0</v>
      </c>
      <c r="R128" s="59">
        <f>Men_5[[#This Row],[Best 6 of 8 Overall]]+Men_5[[#This Row],[Best 3 of 4 XCM]]+Men_5[[#This Row],[Total of 2 XCO]]</f>
        <v>0</v>
      </c>
      <c r="S128" s="134" cm="1">
        <f t="array" ref="S128">68-SUM(IF(O128&gt;$O$18:$O$212,1/COUNTIF($O$18:$O$212,$O$18:$O$212)))</f>
        <v>68</v>
      </c>
    </row>
    <row r="129" spans="1:19" ht="16" hidden="1" x14ac:dyDescent="0.2">
      <c r="A129" s="103"/>
      <c r="B129" s="38" t="str">
        <f>_xlfn.IFNA(INDEX('RD1 Eagle'!$I$2:$I$154,MATCH(Men_5[[#This Row],[Rider]],'RD1 Eagle'!$F$2:$F$154,0)),"")</f>
        <v/>
      </c>
      <c r="C129" s="38" t="str">
        <f>_xlfn.IFNA(INDEX('RD2 Shepherds'!$I$2:$I$143,MATCH(Men_5[[#This Row],[Rider]],'RD2 Shepherds'!$F$2:$F$143,0)),"")</f>
        <v/>
      </c>
      <c r="D129" s="38" t="str">
        <f>_xlfn.IFNA(INDEX('RD3 XCO Sheps'!$I$2:$I$190,MATCH(Men_5[[#This Row],[Rider]],'RD3 XCO Sheps'!$F$2:$F$190,0)),"")</f>
        <v/>
      </c>
      <c r="E129" s="38" t="str">
        <f>_xlfn.IFNA(INDEX('RD4 Ohalloran'!$I$2:$I$180,MATCH(Men_5[[#This Row],[Rider]],'RD4 Ohalloran'!$F$2:$F$180,0)),"")</f>
        <v/>
      </c>
      <c r="F129" s="38" t="str">
        <f>_xlfn.IFNA(INDEX('RD5 Craigburn'!$I$2:$I$164,MATCH(Men_5[[#This Row],[Rider]],'RD5 Craigburn'!$F$2:$F$164,0)),"")</f>
        <v/>
      </c>
      <c r="G129" s="38" t="str">
        <f>_xlfn.IFNA(INDEX('RD6 Kinchina'!$I$2:$I$200,MATCH(Men_5[[#This Row],[Rider]],'RD6 Kinchina'!$F$2:$F$200,0)),"")</f>
        <v/>
      </c>
      <c r="H129" s="38" t="str">
        <f>_xlfn.IFNA(INDEX('RD7 O''Hallaron'!$I$2:$I$190,MATCH(Men_5[[#This Row],[Rider]],'RD7 O''Hallaron'!$F$2:$F$201,0)),"")</f>
        <v/>
      </c>
      <c r="I129" s="38" t="str">
        <f>_xlfn.IFNA(INDEX('RD8 Fox Creek'!$I$2:$I$204,MATCH(Men_5[[#This Row],[Rider]],'RD8 Fox Creek'!$F$2:$F$204,0)),"")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XCO Ohal]:[RD7 XCO O''Halloran]])</f>
        <v>0</v>
      </c>
      <c r="N129" s="59">
        <f>2-COUNTBLANK(Men_5[[#This Row],[RD8 XCO Fox Creek]:[RD9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Fox Creek]:[RD9 XCO Willowie]])</f>
        <v>0</v>
      </c>
      <c r="R129" s="59">
        <f>Men_5[[#This Row],[Best 6 of 8 Overall]]+Men_5[[#This Row],[Best 3 of 4 XCM]]+Men_5[[#This Row],[Total of 2 XCO]]</f>
        <v>0</v>
      </c>
      <c r="S129" s="134" cm="1">
        <f t="array" ref="S129">68-SUM(IF(O129&gt;$O$18:$O$212,1/COUNTIF($O$18:$O$212,$O$18:$O$212)))</f>
        <v>68</v>
      </c>
    </row>
    <row r="130" spans="1:19" ht="16" hidden="1" x14ac:dyDescent="0.2">
      <c r="A130" s="103"/>
      <c r="B130" s="38" t="str">
        <f>_xlfn.IFNA(INDEX('RD1 Eagle'!$I$2:$I$154,MATCH(Men_5[[#This Row],[Rider]],'RD1 Eagle'!$F$2:$F$154,0)),"")</f>
        <v/>
      </c>
      <c r="C130" s="38" t="str">
        <f>_xlfn.IFNA(INDEX('RD2 Shepherds'!$I$2:$I$143,MATCH(Men_5[[#This Row],[Rider]],'RD2 Shepherds'!$F$2:$F$143,0)),"")</f>
        <v/>
      </c>
      <c r="D130" s="38" t="str">
        <f>_xlfn.IFNA(INDEX('RD3 XCO Sheps'!$I$2:$I$190,MATCH(Men_5[[#This Row],[Rider]],'RD3 XCO Sheps'!$F$2:$F$190,0)),"")</f>
        <v/>
      </c>
      <c r="E130" s="38" t="str">
        <f>_xlfn.IFNA(INDEX('RD4 Ohalloran'!$I$2:$I$180,MATCH(Men_5[[#This Row],[Rider]],'RD4 Ohalloran'!$F$2:$F$180,0)),"")</f>
        <v/>
      </c>
      <c r="F130" s="38" t="str">
        <f>_xlfn.IFNA(INDEX('RD5 Craigburn'!$I$2:$I$164,MATCH(Men_5[[#This Row],[Rider]],'RD5 Craigburn'!$F$2:$F$164,0)),"")</f>
        <v/>
      </c>
      <c r="G130" s="38" t="str">
        <f>_xlfn.IFNA(INDEX('RD6 Kinchina'!$I$2:$I$200,MATCH(Men_5[[#This Row],[Rider]],'RD6 Kinchina'!$F$2:$F$200,0)),"")</f>
        <v/>
      </c>
      <c r="H130" s="38" t="str">
        <f>_xlfn.IFNA(INDEX('RD7 O''Hallaron'!$I$2:$I$190,MATCH(Men_5[[#This Row],[Rider]],'RD7 O''Hallaron'!$F$2:$F$201,0)),"")</f>
        <v/>
      </c>
      <c r="I130" s="38" t="str">
        <f>_xlfn.IFNA(INDEX('RD8 Fox Creek'!$I$2:$I$204,MATCH(Men_5[[#This Row],[Rider]],'RD8 Fox Creek'!$F$2:$F$204,0)),"")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XCO Ohal]:[RD7 XCO O''Halloran]])</f>
        <v>0</v>
      </c>
      <c r="N130" s="59">
        <f>2-COUNTBLANK(Men_5[[#This Row],[RD8 XCO Fox Creek]:[RD9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Fox Creek]:[RD9 XCO Willowie]])</f>
        <v>0</v>
      </c>
      <c r="R130" s="59">
        <f>Men_5[[#This Row],[Best 6 of 8 Overall]]+Men_5[[#This Row],[Best 3 of 4 XCM]]+Men_5[[#This Row],[Total of 2 XCO]]</f>
        <v>0</v>
      </c>
      <c r="S130" s="134" cm="1">
        <f t="array" ref="S130">68-SUM(IF(O130&gt;$O$18:$O$212,1/COUNTIF($O$18:$O$212,$O$18:$O$212)))</f>
        <v>68</v>
      </c>
    </row>
    <row r="131" spans="1:19" ht="16" hidden="1" x14ac:dyDescent="0.2">
      <c r="A131" s="103"/>
      <c r="B131" s="38" t="str">
        <f>_xlfn.IFNA(INDEX('RD1 Eagle'!$I$2:$I$154,MATCH(Men_5[[#This Row],[Rider]],'RD1 Eagle'!$F$2:$F$154,0)),"")</f>
        <v/>
      </c>
      <c r="C131" s="38" t="str">
        <f>_xlfn.IFNA(INDEX('RD2 Shepherds'!$I$2:$I$143,MATCH(Men_5[[#This Row],[Rider]],'RD2 Shepherds'!$F$2:$F$143,0)),"")</f>
        <v/>
      </c>
      <c r="D131" s="38" t="str">
        <f>_xlfn.IFNA(INDEX('RD3 XCO Sheps'!$I$2:$I$190,MATCH(Men_5[[#This Row],[Rider]],'RD3 XCO Sheps'!$F$2:$F$190,0)),"")</f>
        <v/>
      </c>
      <c r="E131" s="38" t="str">
        <f>_xlfn.IFNA(INDEX('RD4 Ohalloran'!$I$2:$I$180,MATCH(Men_5[[#This Row],[Rider]],'RD4 Ohalloran'!$F$2:$F$180,0)),"")</f>
        <v/>
      </c>
      <c r="F131" s="38" t="str">
        <f>_xlfn.IFNA(INDEX('RD5 Craigburn'!$I$2:$I$164,MATCH(Men_5[[#This Row],[Rider]],'RD5 Craigburn'!$F$2:$F$164,0)),"")</f>
        <v/>
      </c>
      <c r="G131" s="38" t="str">
        <f>_xlfn.IFNA(INDEX('RD6 Kinchina'!$I$2:$I$200,MATCH(Men_5[[#This Row],[Rider]],'RD6 Kinchina'!$F$2:$F$200,0)),"")</f>
        <v/>
      </c>
      <c r="H131" s="38" t="str">
        <f>_xlfn.IFNA(INDEX('RD7 O''Hallaron'!$I$2:$I$190,MATCH(Men_5[[#This Row],[Rider]],'RD7 O''Hallaron'!$F$2:$F$201,0)),"")</f>
        <v/>
      </c>
      <c r="I131" s="38" t="str">
        <f>_xlfn.IFNA(INDEX('RD8 Fox Creek'!$I$2:$I$204,MATCH(Men_5[[#This Row],[Rider]],'RD8 Fox Creek'!$F$2:$F$204,0)),"")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XCO Ohal]:[RD7 XCO O''Halloran]])</f>
        <v>0</v>
      </c>
      <c r="N131" s="59">
        <f>2-COUNTBLANK(Men_5[[#This Row],[RD8 XCO Fox Creek]:[RD9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Fox Creek]:[RD9 XCO Willowie]])</f>
        <v>0</v>
      </c>
      <c r="R131" s="59">
        <f>Men_5[[#This Row],[Best 6 of 8 Overall]]+Men_5[[#This Row],[Best 3 of 4 XCM]]+Men_5[[#This Row],[Total of 2 XCO]]</f>
        <v>0</v>
      </c>
      <c r="S131" s="134" cm="1">
        <f t="array" ref="S131">68-SUM(IF(O131&gt;$O$18:$O$212,1/COUNTIF($O$18:$O$212,$O$18:$O$212)))</f>
        <v>68</v>
      </c>
    </row>
    <row r="132" spans="1:19" ht="16" hidden="1" x14ac:dyDescent="0.2">
      <c r="A132" s="103"/>
      <c r="B132" s="38" t="str">
        <f>_xlfn.IFNA(INDEX('RD1 Eagle'!$I$2:$I$154,MATCH(Men_5[[#This Row],[Rider]],'RD1 Eagle'!$F$2:$F$154,0)),"")</f>
        <v/>
      </c>
      <c r="C132" s="38" t="str">
        <f>_xlfn.IFNA(INDEX('RD2 Shepherds'!$I$2:$I$143,MATCH(Men_5[[#This Row],[Rider]],'RD2 Shepherds'!$F$2:$F$143,0)),"")</f>
        <v/>
      </c>
      <c r="D132" s="38" t="str">
        <f>_xlfn.IFNA(INDEX('RD3 XCO Sheps'!$I$2:$I$190,MATCH(Men_5[[#This Row],[Rider]],'RD3 XCO Sheps'!$F$2:$F$190,0)),"")</f>
        <v/>
      </c>
      <c r="E132" s="38" t="str">
        <f>_xlfn.IFNA(INDEX('RD4 Ohalloran'!$I$2:$I$180,MATCH(Men_5[[#This Row],[Rider]],'RD4 Ohalloran'!$F$2:$F$180,0)),"")</f>
        <v/>
      </c>
      <c r="F132" s="38" t="str">
        <f>_xlfn.IFNA(INDEX('RD5 Craigburn'!$I$2:$I$164,MATCH(Men_5[[#This Row],[Rider]],'RD5 Craigburn'!$F$2:$F$164,0)),"")</f>
        <v/>
      </c>
      <c r="G132" s="38" t="str">
        <f>_xlfn.IFNA(INDEX('RD6 Kinchina'!$I$2:$I$200,MATCH(Men_5[[#This Row],[Rider]],'RD6 Kinchina'!$F$2:$F$200,0)),"")</f>
        <v/>
      </c>
      <c r="H132" s="38" t="str">
        <f>_xlfn.IFNA(INDEX('RD7 O''Hallaron'!$I$2:$I$190,MATCH(Men_5[[#This Row],[Rider]],'RD7 O''Hallaron'!$F$2:$F$201,0)),"")</f>
        <v/>
      </c>
      <c r="I132" s="38" t="str">
        <f>_xlfn.IFNA(INDEX('RD8 Fox Creek'!$I$2:$I$204,MATCH(Men_5[[#This Row],[Rider]],'RD8 Fox Creek'!$F$2:$F$204,0)),"")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XCO Ohal]:[RD7 XCO O''Halloran]])</f>
        <v>0</v>
      </c>
      <c r="N132" s="59">
        <f>2-COUNTBLANK(Men_5[[#This Row],[RD8 XCO Fox Creek]:[RD9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Fox Creek]:[RD9 XCO Willowie]])</f>
        <v>0</v>
      </c>
      <c r="R132" s="59">
        <f>Men_5[[#This Row],[Best 6 of 8 Overall]]+Men_5[[#This Row],[Best 3 of 4 XCM]]+Men_5[[#This Row],[Total of 2 XCO]]</f>
        <v>0</v>
      </c>
      <c r="S132" s="134" cm="1">
        <f t="array" ref="S132">68-SUM(IF(O132&gt;$O$18:$O$212,1/COUNTIF($O$18:$O$212,$O$18:$O$212)))</f>
        <v>68</v>
      </c>
    </row>
    <row r="133" spans="1:19" ht="16" hidden="1" x14ac:dyDescent="0.2">
      <c r="A133" s="103"/>
      <c r="B133" s="38" t="str">
        <f>_xlfn.IFNA(INDEX('RD1 Eagle'!$I$2:$I$154,MATCH(Men_5[[#This Row],[Rider]],'RD1 Eagle'!$F$2:$F$154,0)),"")</f>
        <v/>
      </c>
      <c r="C133" s="38" t="str">
        <f>_xlfn.IFNA(INDEX('RD2 Shepherds'!$I$2:$I$143,MATCH(Men_5[[#This Row],[Rider]],'RD2 Shepherds'!$F$2:$F$143,0)),"")</f>
        <v/>
      </c>
      <c r="D133" s="38" t="str">
        <f>_xlfn.IFNA(INDEX('RD3 XCO Sheps'!$I$2:$I$190,MATCH(Men_5[[#This Row],[Rider]],'RD3 XCO Sheps'!$F$2:$F$190,0)),"")</f>
        <v/>
      </c>
      <c r="E133" s="38" t="str">
        <f>_xlfn.IFNA(INDEX('RD4 Ohalloran'!$I$2:$I$180,MATCH(Men_5[[#This Row],[Rider]],'RD4 Ohalloran'!$F$2:$F$180,0)),"")</f>
        <v/>
      </c>
      <c r="F133" s="38" t="str">
        <f>_xlfn.IFNA(INDEX('RD5 Craigburn'!$I$2:$I$164,MATCH(Men_5[[#This Row],[Rider]],'RD5 Craigburn'!$F$2:$F$164,0)),"")</f>
        <v/>
      </c>
      <c r="G133" s="38" t="str">
        <f>_xlfn.IFNA(INDEX('RD6 Kinchina'!$I$2:$I$200,MATCH(Men_5[[#This Row],[Rider]],'RD6 Kinchina'!$F$2:$F$200,0)),"")</f>
        <v/>
      </c>
      <c r="H133" s="38" t="str">
        <f>_xlfn.IFNA(INDEX('RD7 O''Hallaron'!$I$2:$I$190,MATCH(Men_5[[#This Row],[Rider]],'RD7 O''Hallaron'!$F$2:$F$201,0)),"")</f>
        <v/>
      </c>
      <c r="I133" s="38" t="str">
        <f>_xlfn.IFNA(INDEX('RD8 Fox Creek'!$I$2:$I$204,MATCH(Men_5[[#This Row],[Rider]],'RD8 Fox Creek'!$F$2:$F$204,0)),"")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XCO Ohal]:[RD7 XCO O''Halloran]])</f>
        <v>0</v>
      </c>
      <c r="N133" s="59">
        <f>2-COUNTBLANK(Men_5[[#This Row],[RD8 XCO Fox Creek]:[RD9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Fox Creek]:[RD9 XCO Willowie]])</f>
        <v>0</v>
      </c>
      <c r="R133" s="59">
        <f>Men_5[[#This Row],[Best 6 of 8 Overall]]+Men_5[[#This Row],[Best 3 of 4 XCM]]+Men_5[[#This Row],[Total of 2 XCO]]</f>
        <v>0</v>
      </c>
      <c r="S133" s="134" cm="1">
        <f t="array" ref="S133">68-SUM(IF(O133&gt;$O$18:$O$212,1/COUNTIF($O$18:$O$212,$O$18:$O$212)))</f>
        <v>68</v>
      </c>
    </row>
    <row r="134" spans="1:19" ht="16" hidden="1" x14ac:dyDescent="0.2">
      <c r="A134" s="103"/>
      <c r="B134" s="38" t="str">
        <f>_xlfn.IFNA(INDEX('RD1 Eagle'!$I$2:$I$154,MATCH(Men_5[[#This Row],[Rider]],'RD1 Eagle'!$F$2:$F$154,0)),"")</f>
        <v/>
      </c>
      <c r="C134" s="38" t="str">
        <f>_xlfn.IFNA(INDEX('RD2 Shepherds'!$I$2:$I$143,MATCH(Men_5[[#This Row],[Rider]],'RD2 Shepherds'!$F$2:$F$143,0)),"")</f>
        <v/>
      </c>
      <c r="D134" s="38" t="str">
        <f>_xlfn.IFNA(INDEX('RD3 XCO Sheps'!$I$2:$I$190,MATCH(Men_5[[#This Row],[Rider]],'RD3 XCO Sheps'!$F$2:$F$190,0)),"")</f>
        <v/>
      </c>
      <c r="E134" s="38" t="str">
        <f>_xlfn.IFNA(INDEX('RD4 Ohalloran'!$I$2:$I$180,MATCH(Men_5[[#This Row],[Rider]],'RD4 Ohalloran'!$F$2:$F$180,0)),"")</f>
        <v/>
      </c>
      <c r="F134" s="38" t="str">
        <f>_xlfn.IFNA(INDEX('RD5 Craigburn'!$I$2:$I$164,MATCH(Men_5[[#This Row],[Rider]],'RD5 Craigburn'!$F$2:$F$164,0)),"")</f>
        <v/>
      </c>
      <c r="G134" s="38" t="str">
        <f>_xlfn.IFNA(INDEX('RD6 Kinchina'!$I$2:$I$200,MATCH(Men_5[[#This Row],[Rider]],'RD6 Kinchina'!$F$2:$F$200,0)),"")</f>
        <v/>
      </c>
      <c r="H134" s="38" t="str">
        <f>_xlfn.IFNA(INDEX('RD7 O''Hallaron'!$I$2:$I$190,MATCH(Men_5[[#This Row],[Rider]],'RD7 O''Hallaron'!$F$2:$F$201,0)),"")</f>
        <v/>
      </c>
      <c r="I134" s="38" t="str">
        <f>_xlfn.IFNA(INDEX('RD8 Fox Creek'!$I$2:$I$204,MATCH(Men_5[[#This Row],[Rider]],'RD8 Fox Creek'!$F$2:$F$204,0)),"")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XCO Ohal]:[RD7 XCO O''Halloran]])</f>
        <v>0</v>
      </c>
      <c r="N134" s="59">
        <f>2-COUNTBLANK(Men_5[[#This Row],[RD8 XCO Fox Creek]:[RD9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Fox Creek]:[RD9 XCO Willowie]])</f>
        <v>0</v>
      </c>
      <c r="R134" s="59">
        <f>Men_5[[#This Row],[Best 6 of 8 Overall]]+Men_5[[#This Row],[Best 3 of 4 XCM]]+Men_5[[#This Row],[Total of 2 XCO]]</f>
        <v>0</v>
      </c>
      <c r="S134" s="134" cm="1">
        <f t="array" ref="S134">68-SUM(IF(O134&gt;$O$18:$O$212,1/COUNTIF($O$18:$O$212,$O$18:$O$212)))</f>
        <v>68</v>
      </c>
    </row>
    <row r="135" spans="1:19" ht="16" hidden="1" x14ac:dyDescent="0.2">
      <c r="A135" s="103"/>
      <c r="B135" s="38" t="str">
        <f>_xlfn.IFNA(INDEX('RD1 Eagle'!$I$2:$I$154,MATCH(Men_5[[#This Row],[Rider]],'RD1 Eagle'!$F$2:$F$154,0)),"")</f>
        <v/>
      </c>
      <c r="C135" s="38" t="str">
        <f>_xlfn.IFNA(INDEX('RD2 Shepherds'!$I$2:$I$143,MATCH(Men_5[[#This Row],[Rider]],'RD2 Shepherds'!$F$2:$F$143,0)),"")</f>
        <v/>
      </c>
      <c r="D135" s="38" t="str">
        <f>_xlfn.IFNA(INDEX('RD3 XCO Sheps'!$I$2:$I$190,MATCH(Men_5[[#This Row],[Rider]],'RD3 XCO Sheps'!$F$2:$F$190,0)),"")</f>
        <v/>
      </c>
      <c r="E135" s="38" t="str">
        <f>_xlfn.IFNA(INDEX('RD4 Ohalloran'!$I$2:$I$180,MATCH(Men_5[[#This Row],[Rider]],'RD4 Ohalloran'!$F$2:$F$180,0)),"")</f>
        <v/>
      </c>
      <c r="F135" s="38" t="str">
        <f>_xlfn.IFNA(INDEX('RD5 Craigburn'!$I$2:$I$164,MATCH(Men_5[[#This Row],[Rider]],'RD5 Craigburn'!$F$2:$F$164,0)),"")</f>
        <v/>
      </c>
      <c r="G135" s="38" t="str">
        <f>_xlfn.IFNA(INDEX('RD6 Kinchina'!$I$2:$I$200,MATCH(Men_5[[#This Row],[Rider]],'RD6 Kinchina'!$F$2:$F$200,0)),"")</f>
        <v/>
      </c>
      <c r="H135" s="38" t="str">
        <f>_xlfn.IFNA(INDEX('RD7 O''Hallaron'!$I$2:$I$190,MATCH(Men_5[[#This Row],[Rider]],'RD7 O''Hallaron'!$F$2:$F$201,0)),"")</f>
        <v/>
      </c>
      <c r="I135" s="38" t="str">
        <f>_xlfn.IFNA(INDEX('RD8 Fox Creek'!$I$2:$I$204,MATCH(Men_5[[#This Row],[Rider]],'RD8 Fox Creek'!$F$2:$F$204,0)),"")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XCO Ohal]:[RD7 XCO O''Halloran]])</f>
        <v>0</v>
      </c>
      <c r="N135" s="59">
        <f>2-COUNTBLANK(Men_5[[#This Row],[RD8 XCO Fox Creek]:[RD9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59" cm="1">
        <f t="array" ref="P135">IF(Men_5[[#This Row],[Number of Rounds XCM]]&lt;=3,SUM(IF(ISNA(E135:H135),0,E135:H135)),SUM(LARGE(E135:H135,{1,2,3})))</f>
        <v>0</v>
      </c>
      <c r="Q135" s="59">
        <f>SUM(Men_5[[#This Row],[RD8 XCO Fox Creek]:[RD9 XCO Willowie]])</f>
        <v>0</v>
      </c>
      <c r="R135" s="59">
        <f>Men_5[[#This Row],[Best 6 of 8 Overall]]+Men_5[[#This Row],[Best 3 of 4 XCM]]+Men_5[[#This Row],[Total of 2 XCO]]</f>
        <v>0</v>
      </c>
      <c r="S135" s="134" cm="1">
        <f t="array" ref="S135">68-SUM(IF(O135&gt;$O$18:$O$212,1/COUNTIF($O$18:$O$212,$O$18:$O$212)))</f>
        <v>68</v>
      </c>
    </row>
    <row r="136" spans="1:19" ht="16" hidden="1" x14ac:dyDescent="0.2">
      <c r="A136" s="103"/>
      <c r="B136" s="38" t="str">
        <f>_xlfn.IFNA(INDEX('RD1 Eagle'!$I$2:$I$154,MATCH(Men_5[[#This Row],[Rider]],'RD1 Eagle'!$F$2:$F$154,0)),"")</f>
        <v/>
      </c>
      <c r="C136" s="38" t="str">
        <f>_xlfn.IFNA(INDEX('RD2 Shepherds'!$I$2:$I$143,MATCH(Men_5[[#This Row],[Rider]],'RD2 Shepherds'!$F$2:$F$143,0)),"")</f>
        <v/>
      </c>
      <c r="D136" s="38" t="str">
        <f>_xlfn.IFNA(INDEX('RD3 XCO Sheps'!$I$2:$I$190,MATCH(Men_5[[#This Row],[Rider]],'RD3 XCO Sheps'!$F$2:$F$190,0)),"")</f>
        <v/>
      </c>
      <c r="E136" s="38" t="str">
        <f>_xlfn.IFNA(INDEX('RD4 Ohalloran'!$I$2:$I$180,MATCH(Men_5[[#This Row],[Rider]],'RD4 Ohalloran'!$F$2:$F$180,0)),"")</f>
        <v/>
      </c>
      <c r="F136" s="38" t="str">
        <f>_xlfn.IFNA(INDEX('RD5 Craigburn'!$I$2:$I$164,MATCH(Men_5[[#This Row],[Rider]],'RD5 Craigburn'!$F$2:$F$164,0)),"")</f>
        <v/>
      </c>
      <c r="G136" s="38" t="str">
        <f>_xlfn.IFNA(INDEX('RD6 Kinchina'!$I$2:$I$200,MATCH(Men_5[[#This Row],[Rider]],'RD6 Kinchina'!$F$2:$F$200,0)),"")</f>
        <v/>
      </c>
      <c r="H136" s="38" t="str">
        <f>_xlfn.IFNA(INDEX('RD7 O''Hallaron'!$I$2:$I$190,MATCH(Men_5[[#This Row],[Rider]],'RD7 O''Hallaron'!$F$2:$F$201,0)),"")</f>
        <v/>
      </c>
      <c r="I136" s="38" t="str">
        <f>_xlfn.IFNA(INDEX('RD8 Fox Creek'!$I$2:$I$204,MATCH(Men_5[[#This Row],[Rider]],'RD8 Fox Creek'!$F$2:$F$204,0)),"")</f>
        <v/>
      </c>
      <c r="J136" s="38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XCO Ohal]:[RD7 XCO O''Halloran]])</f>
        <v>0</v>
      </c>
      <c r="N136" s="59">
        <f>2-COUNTBLANK(Men_5[[#This Row],[RD8 XCO Fox Creek]:[RD9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59" cm="1">
        <f t="array" ref="P136">IF(Men_5[[#This Row],[Number of Rounds XCM]]&lt;=3,SUM(IF(ISNA(E136:H136),0,E136:H136)),SUM(LARGE(E136:H136,{1,2,3})))</f>
        <v>0</v>
      </c>
      <c r="Q136" s="59">
        <f>SUM(Men_5[[#This Row],[RD8 XCO Fox Creek]:[RD9 XCO Willowie]])</f>
        <v>0</v>
      </c>
      <c r="R136" s="59">
        <f>Men_5[[#This Row],[Best 6 of 8 Overall]]+Men_5[[#This Row],[Best 3 of 4 XCM]]+Men_5[[#This Row],[Total of 2 XCO]]</f>
        <v>0</v>
      </c>
      <c r="S136" s="134" cm="1">
        <f t="array" ref="S136">68-SUM(IF(O136&gt;$O$18:$O$212,1/COUNTIF($O$18:$O$212,$O$18:$O$212)))</f>
        <v>68</v>
      </c>
    </row>
    <row r="137" spans="1:19" ht="16" hidden="1" x14ac:dyDescent="0.2">
      <c r="A137" s="103"/>
      <c r="B137" s="38" t="str">
        <f>_xlfn.IFNA(INDEX('RD1 Eagle'!$I$2:$I$154,MATCH(Men_5[[#This Row],[Rider]],'RD1 Eagle'!$F$2:$F$154,0)),"")</f>
        <v/>
      </c>
      <c r="C137" s="38" t="str">
        <f>_xlfn.IFNA(INDEX('RD2 Shepherds'!$I$2:$I$143,MATCH(Men_5[[#This Row],[Rider]],'RD2 Shepherds'!$F$2:$F$143,0)),"")</f>
        <v/>
      </c>
      <c r="D137" s="38" t="str">
        <f>_xlfn.IFNA(INDEX('RD3 XCO Sheps'!$I$2:$I$190,MATCH(Men_5[[#This Row],[Rider]],'RD3 XCO Sheps'!$F$2:$F$190,0)),"")</f>
        <v/>
      </c>
      <c r="E137" s="38" t="str">
        <f>_xlfn.IFNA(INDEX('RD4 Ohalloran'!$I$2:$I$180,MATCH(Men_5[[#This Row],[Rider]],'RD4 Ohalloran'!$F$2:$F$180,0)),"")</f>
        <v/>
      </c>
      <c r="F137" s="38" t="str">
        <f>_xlfn.IFNA(INDEX('RD5 Craigburn'!$I$2:$I$164,MATCH(Men_5[[#This Row],[Rider]],'RD5 Craigburn'!$F$2:$F$164,0)),"")</f>
        <v/>
      </c>
      <c r="G137" s="38" t="str">
        <f>_xlfn.IFNA(INDEX('RD6 Kinchina'!$I$2:$I$200,MATCH(Men_5[[#This Row],[Rider]],'RD6 Kinchina'!$F$2:$F$200,0)),"")</f>
        <v/>
      </c>
      <c r="H137" s="38" t="str">
        <f>_xlfn.IFNA(INDEX('RD7 O''Hallaron'!$I$2:$I$190,MATCH(Men_5[[#This Row],[Rider]],'RD7 O''Hallaron'!$F$2:$F$201,0)),"")</f>
        <v/>
      </c>
      <c r="I137" s="38" t="str">
        <f>_xlfn.IFNA(INDEX('RD8 Fox Creek'!$I$2:$I$204,MATCH(Men_5[[#This Row],[Rider]],'RD8 Fox Creek'!$F$2:$F$204,0)),"")</f>
        <v/>
      </c>
      <c r="J137" s="38" t="str">
        <f>_xlfn.IFNA(INDEX('RD9 XCM Melrose W'!$I$2:$I$194,MATCH(Men_5[[#This Row],[Rider]],'RD9 XCM Melrose W'!$F$2:$F$194,0)),"")</f>
        <v/>
      </c>
      <c r="K137" s="3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XCO Ohal]:[RD7 XCO O''Halloran]])</f>
        <v>0</v>
      </c>
      <c r="N137" s="59">
        <f>2-COUNTBLANK(Men_5[[#This Row],[RD8 XCO Fox Creek]:[RD9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Fox Creek]:[RD9 XCO Willowie]])</f>
        <v>0</v>
      </c>
      <c r="R137" s="60">
        <f>Men_5[[#This Row],[Best 6 of 8 Overall]]+Men_5[[#This Row],[Best 3 of 4 XCM]]+Men_5[[#This Row],[Total of 2 XCO]]</f>
        <v>0</v>
      </c>
      <c r="S137" s="134" cm="1">
        <f t="array" ref="S137">68-SUM(IF(O137&gt;$O$18:$O$212,1/COUNTIF($O$18:$O$212,$O$18:$O$212)))</f>
        <v>68</v>
      </c>
    </row>
    <row r="138" spans="1:19" ht="16" hidden="1" x14ac:dyDescent="0.2">
      <c r="A138" s="103"/>
      <c r="B138" s="41" t="str">
        <f>_xlfn.IFNA(INDEX('RD1 Eagle'!$I$2:$I$154,MATCH(Men_5[[#This Row],[Rider]],'RD1 Eagle'!$F$2:$F$154,0)),"")</f>
        <v/>
      </c>
      <c r="C138" s="41" t="str">
        <f>_xlfn.IFNA(INDEX('RD2 Shepherds'!$I$2:$I$143,MATCH(Men_5[[#This Row],[Rider]],'RD2 Shepherds'!$F$2:$F$143,0)),"")</f>
        <v/>
      </c>
      <c r="D138" s="41" t="str">
        <f>_xlfn.IFNA(INDEX('RD3 XCO Sheps'!$I$2:$I$190,MATCH(Men_5[[#This Row],[Rider]],'RD3 XCO Sheps'!$F$2:$F$190,0)),"")</f>
        <v/>
      </c>
      <c r="E138" s="41" t="str">
        <f>_xlfn.IFNA(INDEX('RD4 Ohalloran'!$I$2:$I$180,MATCH(Men_5[[#This Row],[Rider]],'RD4 Ohalloran'!$F$2:$F$180,0)),"")</f>
        <v/>
      </c>
      <c r="F138" s="41" t="str">
        <f>_xlfn.IFNA(INDEX('RD5 Craigburn'!$I$2:$I$164,MATCH(Men_5[[#This Row],[Rider]],'RD5 Craigburn'!$F$2:$F$164,0)),"")</f>
        <v/>
      </c>
      <c r="G138" s="41" t="str">
        <f>_xlfn.IFNA(INDEX('RD6 Kinchina'!$I$2:$I$200,MATCH(Men_5[[#This Row],[Rider]],'RD6 Kinchina'!$F$2:$F$200,0)),"")</f>
        <v/>
      </c>
      <c r="H138" s="41" t="str">
        <f>_xlfn.IFNA(INDEX('RD7 O''Hallaron'!$I$2:$I$190,MATCH(Men_5[[#This Row],[Rider]],'RD7 O''Hallaron'!$F$2:$F$201,0)),"")</f>
        <v/>
      </c>
      <c r="I138" s="41" t="str">
        <f>_xlfn.IFNA(INDEX('RD8 Fox Creek'!$I$2:$I$204,MATCH(Men_5[[#This Row],[Rider]],'RD8 Fox Creek'!$F$2:$F$204,0)),"")</f>
        <v/>
      </c>
      <c r="J138" s="41" t="str">
        <f>_xlfn.IFNA(INDEX('RD9 XCM Melrose W'!$I$2:$I$194,MATCH(Men_5[[#This Row],[Rider]],'RD9 XCM Melrose W'!$F$2:$F$194,0)),"")</f>
        <v/>
      </c>
      <c r="K138" s="3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XCO Ohal]:[RD7 XCO O''Halloran]])</f>
        <v>0</v>
      </c>
      <c r="N138" s="59">
        <f>2-COUNTBLANK(Men_5[[#This Row],[RD8 XCO Fox Creek]:[RD9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60" cm="1">
        <f t="array" ref="P138">IF(Men_5[[#This Row],[Number of Rounds XCM]]&lt;=3,SUM(IF(ISNA(E138:H138),0,E138:H138)),SUM(LARGE(E138:H138,{1,2,3})))</f>
        <v>0</v>
      </c>
      <c r="Q138" s="60">
        <f>SUM(Men_5[[#This Row],[RD8 XCO Fox Creek]:[RD9 XCO Willowie]])</f>
        <v>0</v>
      </c>
      <c r="R138" s="60">
        <f>Men_5[[#This Row],[Best 6 of 8 Overall]]+Men_5[[#This Row],[Best 3 of 4 XCM]]+Men_5[[#This Row],[Total of 2 XCO]]</f>
        <v>0</v>
      </c>
      <c r="S138" s="134" cm="1">
        <f t="array" ref="S138">68-SUM(IF(O138&gt;$O$18:$O$212,1/COUNTIF($O$18:$O$212,$O$18:$O$212)))</f>
        <v>68</v>
      </c>
    </row>
    <row r="139" spans="1:19" ht="16" hidden="1" x14ac:dyDescent="0.2">
      <c r="A139" s="103"/>
      <c r="B139" s="38" t="str">
        <f>_xlfn.IFNA(INDEX('RD1 Eagle'!$I$2:$I$154,MATCH(Men_5[[#This Row],[Rider]],'RD1 Eagle'!$F$2:$F$154,0)),"")</f>
        <v/>
      </c>
      <c r="C139" s="38" t="str">
        <f>_xlfn.IFNA(INDEX('RD2 Shepherds'!$I$2:$I$143,MATCH(Men_5[[#This Row],[Rider]],'RD2 Shepherds'!$F$2:$F$143,0)),"")</f>
        <v/>
      </c>
      <c r="D139" s="41" t="str">
        <f>_xlfn.IFNA(INDEX('RD3 XCO Sheps'!$I$2:$I$190,MATCH(Men_5[[#This Row],[Rider]],'RD3 XCO Sheps'!$F$2:$F$190,0)),"")</f>
        <v/>
      </c>
      <c r="E139" s="41" t="str">
        <f>_xlfn.IFNA(INDEX('RD4 Ohalloran'!$I$2:$I$180,MATCH(Men_5[[#This Row],[Rider]],'RD4 Ohalloran'!$F$2:$F$180,0)),"")</f>
        <v/>
      </c>
      <c r="F139" s="38" t="str">
        <f>_xlfn.IFNA(INDEX('RD5 Craigburn'!$I$2:$I$164,MATCH(Men_5[[#This Row],[Rider]],'RD5 Craigburn'!$F$2:$F$164,0)),"")</f>
        <v/>
      </c>
      <c r="G139" s="41" t="str">
        <f>_xlfn.IFNA(INDEX('RD6 Kinchina'!$I$2:$I$200,MATCH(Men_5[[#This Row],[Rider]],'RD6 Kinchina'!$F$2:$F$200,0)),"")</f>
        <v/>
      </c>
      <c r="H139" s="41" t="str">
        <f>_xlfn.IFNA(INDEX('RD7 O''Hallaron'!$I$2:$I$190,MATCH(Men_5[[#This Row],[Rider]],'RD7 O''Hallaron'!$F$2:$F$201,0)),"")</f>
        <v/>
      </c>
      <c r="I139" s="41" t="str">
        <f>_xlfn.IFNA(INDEX('RD8 Fox Creek'!$I$2:$I$204,MATCH(Men_5[[#This Row],[Rider]],'RD8 Fox Creek'!$F$2:$F$204,0)),"")</f>
        <v/>
      </c>
      <c r="J139" s="41" t="str">
        <f>_xlfn.IFNA(INDEX('RD9 XCM Melrose W'!$I$2:$I$194,MATCH(Men_5[[#This Row],[Rider]],'RD9 XCM Melrose W'!$F$2:$F$194,0)),"")</f>
        <v/>
      </c>
      <c r="K139" s="77">
        <f>9-COUNTBLANK(Men_5[[#This Row],[RD1 XCC Eagle]:[RD9 XCO Willowie]])</f>
        <v>0</v>
      </c>
      <c r="L139" s="59">
        <f>3-COUNTBLANK(Men_5[[#This Row],[RD1 XCC Eagle]:[RD3 XCO Sheps]])</f>
        <v>0</v>
      </c>
      <c r="M139" s="59">
        <f>4-COUNTBLANK(Men_5[[#This Row],[RD4 XCO Ohal]:[RD7 XCO O''Halloran]])</f>
        <v>0</v>
      </c>
      <c r="N139" s="59">
        <f>2-COUNTBLANK(Men_5[[#This Row],[RD8 XCO Fox Creek]:[RD9 XCO Willowie]])</f>
        <v>0</v>
      </c>
      <c r="O139" s="59" cm="1">
        <f t="array" ref="O139">IF(Men_5[[#This Row],[Number of Rounds]]&lt;=6,SUM(IF(ISNA(B139:J139),0,B139:J139)),SUM(LARGE(B139:J139,{1,2,3,4,5,6})))</f>
        <v>0</v>
      </c>
      <c r="P139" s="60" cm="1">
        <f t="array" ref="P139">IF(Men_5[[#This Row],[Number of Rounds XCM]]&lt;=3,SUM(IF(ISNA(E139:H139),0,E139:H139)),SUM(LARGE(E139:H139,{1,2,3})))</f>
        <v>0</v>
      </c>
      <c r="Q139" s="60">
        <f>SUM(Men_5[[#This Row],[RD8 XCO Fox Creek]:[RD9 XCO Willowie]])</f>
        <v>0</v>
      </c>
      <c r="R139" s="60">
        <f>Men_5[[#This Row],[Best 6 of 8 Overall]]+Men_5[[#This Row],[Best 3 of 4 XCM]]+Men_5[[#This Row],[Total of 2 XCO]]</f>
        <v>0</v>
      </c>
      <c r="S139" s="134" cm="1">
        <f t="array" ref="S139">68-SUM(IF(O139&gt;$O$18:$O$212,1/COUNTIF($O$18:$O$212,$O$18:$O$212)))</f>
        <v>68</v>
      </c>
    </row>
    <row r="140" spans="1:19" ht="16" hidden="1" x14ac:dyDescent="0.2">
      <c r="A140" s="103"/>
      <c r="B140" s="41" t="str">
        <f>_xlfn.IFNA(INDEX('RD1 Eagle'!$I$2:$I$154,MATCH(Men_5[[#This Row],[Rider]],'RD1 Eagle'!$F$2:$F$154,0)),"")</f>
        <v/>
      </c>
      <c r="C140" s="41" t="str">
        <f>_xlfn.IFNA(INDEX('RD2 Shepherds'!$I$2:$I$143,MATCH(Men_5[[#This Row],[Rider]],'RD2 Shepherds'!$F$2:$F$143,0)),"")</f>
        <v/>
      </c>
      <c r="D140" s="41" t="str">
        <f>_xlfn.IFNA(INDEX('RD3 XCO Sheps'!$I$2:$I$190,MATCH(Men_5[[#This Row],[Rider]],'RD3 XCO Sheps'!$F$2:$F$190,0)),"")</f>
        <v/>
      </c>
      <c r="E140" s="41" t="str">
        <f>_xlfn.IFNA(INDEX('RD4 Ohalloran'!$I$2:$I$180,MATCH(Men_5[[#This Row],[Rider]],'RD4 Ohalloran'!$F$2:$F$180,0)),"")</f>
        <v/>
      </c>
      <c r="F140" s="41" t="str">
        <f>_xlfn.IFNA(INDEX('RD5 Craigburn'!$I$2:$I$164,MATCH(Men_5[[#This Row],[Rider]],'RD5 Craigburn'!$F$2:$F$164,0)),"")</f>
        <v/>
      </c>
      <c r="G140" s="41" t="str">
        <f>_xlfn.IFNA(INDEX('RD6 Kinchina'!$I$2:$I$200,MATCH(Men_5[[#This Row],[Rider]],'RD6 Kinchina'!$F$2:$F$200,0)),"")</f>
        <v/>
      </c>
      <c r="H140" s="41" t="str">
        <f>_xlfn.IFNA(INDEX('RD7 O''Hallaron'!$I$2:$I$190,MATCH(Men_5[[#This Row],[Rider]],'RD7 O''Hallaron'!$F$2:$F$201,0)),"")</f>
        <v/>
      </c>
      <c r="I140" s="41" t="str">
        <f>_xlfn.IFNA(INDEX('RD8 Fox Creek'!$I$2:$I$204,MATCH(Men_5[[#This Row],[Rider]],'RD8 Fox Creek'!$F$2:$F$204,0)),"")</f>
        <v/>
      </c>
      <c r="J140" s="41" t="str">
        <f>_xlfn.IFNA(INDEX('RD9 XCM Melrose W'!$I$2:$I$194,MATCH(Men_5[[#This Row],[Rider]],'RD9 XCM Melrose W'!$F$2:$F$194,0)),"")</f>
        <v/>
      </c>
      <c r="K140" s="77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XCO Ohal]:[RD7 XCO O''Halloran]])</f>
        <v>0</v>
      </c>
      <c r="N140" s="59">
        <f>2-COUNTBLANK(Men_5[[#This Row],[RD8 XCO Fox Creek]:[RD9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59" cm="1">
        <f t="array" ref="P140">IF(Men_5[[#This Row],[Number of Rounds XCM]]&lt;=3,SUM(IF(ISNA(E140:H140),0,E140:H140)),SUM(LARGE(E140:H140,{1,2,3})))</f>
        <v>0</v>
      </c>
      <c r="Q140" s="59">
        <f>SUM(Men_5[[#This Row],[RD8 XCO Fox Creek]:[RD9 XCO Willowie]])</f>
        <v>0</v>
      </c>
      <c r="R140" s="59">
        <f>Men_5[[#This Row],[Best 6 of 8 Overall]]+Men_5[[#This Row],[Best 3 of 4 XCM]]+Men_5[[#This Row],[Total of 2 XCO]]</f>
        <v>0</v>
      </c>
      <c r="S140" s="134" cm="1">
        <f t="array" ref="S140">68-SUM(IF(O140&gt;$O$18:$O$212,1/COUNTIF($O$18:$O$212,$O$18:$O$212)))</f>
        <v>68</v>
      </c>
    </row>
    <row r="141" spans="1:19" ht="16" hidden="1" x14ac:dyDescent="0.2">
      <c r="A141" s="103"/>
      <c r="B141" s="38" t="str">
        <f>_xlfn.IFNA(INDEX('RD1 Eagle'!$I$2:$I$154,MATCH(Men_5[[#This Row],[Rider]],'RD1 Eagle'!$F$2:$F$154,0)),"")</f>
        <v/>
      </c>
      <c r="C141" s="38" t="str">
        <f>_xlfn.IFNA(INDEX('RD2 Shepherds'!$I$2:$I$143,MATCH(Men_5[[#This Row],[Rider]],'RD2 Shepherds'!$F$2:$F$143,0)),"")</f>
        <v/>
      </c>
      <c r="D141" s="41" t="str">
        <f>_xlfn.IFNA(INDEX('RD3 XCO Sheps'!$I$2:$I$190,MATCH(Men_5[[#This Row],[Rider]],'RD3 XCO Sheps'!$F$2:$F$190,0)),"")</f>
        <v/>
      </c>
      <c r="E141" s="41" t="str">
        <f>_xlfn.IFNA(INDEX('RD4 Ohalloran'!$I$2:$I$180,MATCH(Men_5[[#This Row],[Rider]],'RD4 Ohalloran'!$F$2:$F$180,0)),"")</f>
        <v/>
      </c>
      <c r="F141" s="38" t="str">
        <f>_xlfn.IFNA(INDEX('RD5 Craigburn'!$I$2:$I$164,MATCH(Men_5[[#This Row],[Rider]],'RD5 Craigburn'!$F$2:$F$164,0)),"")</f>
        <v/>
      </c>
      <c r="G141" s="41" t="str">
        <f>_xlfn.IFNA(INDEX('RD6 Kinchina'!$I$2:$I$200,MATCH(Men_5[[#This Row],[Rider]],'RD6 Kinchina'!$F$2:$F$200,0)),"")</f>
        <v/>
      </c>
      <c r="H141" s="41" t="str">
        <f>_xlfn.IFNA(INDEX('RD7 O''Hallaron'!$I$2:$I$190,MATCH(Men_5[[#This Row],[Rider]],'RD7 O''Hallaron'!$F$2:$F$201,0)),"")</f>
        <v/>
      </c>
      <c r="I141" s="41" t="str">
        <f>_xlfn.IFNA(INDEX('RD8 Fox Creek'!$I$2:$I$204,MATCH(Men_5[[#This Row],[Rider]],'RD8 Fox Creek'!$F$2:$F$204,0)),"")</f>
        <v/>
      </c>
      <c r="J141" s="41" t="str">
        <f>_xlfn.IFNA(INDEX('RD9 XCM Melrose W'!$I$2:$I$194,MATCH(Men_5[[#This Row],[Rider]],'RD9 XCM Melrose W'!$F$2:$F$194,0)),"")</f>
        <v/>
      </c>
      <c r="K141" s="120">
        <f>9-COUNTBLANK(Men_5[[#This Row],[RD1 XCC Eagle]:[RD9 XCO Willowie]])</f>
        <v>0</v>
      </c>
      <c r="L141" s="121">
        <f>3-COUNTBLANK(Men_5[[#This Row],[RD1 XCC Eagle]:[RD3 XCO Sheps]])</f>
        <v>0</v>
      </c>
      <c r="M141" s="121">
        <f>4-COUNTBLANK(Men_5[[#This Row],[RD4 XCO Ohal]:[RD7 XCO O''Halloran]])</f>
        <v>0</v>
      </c>
      <c r="N141" s="121">
        <f>2-COUNTBLANK(Men_5[[#This Row],[RD8 XCO Fox Creek]:[RD9 XCO Willowie]])</f>
        <v>0</v>
      </c>
      <c r="O141" s="121" cm="1">
        <f t="array" ref="O141">IF(Men_5[[#This Row],[Number of Rounds]]&lt;=6,SUM(IF(ISNA(B141:J141),0,B141:J141)),SUM(LARGE(B141:J141,{1,2,3,4,5,6})))</f>
        <v>0</v>
      </c>
      <c r="P141" s="107" cm="1">
        <f t="array" ref="P141">IF(Men_5[[#This Row],[Number of Rounds XCM]]&lt;=3,SUM(IF(ISNA(E141:H141),0,E141:H141)),SUM(LARGE(E141:H141,{1,2,3})))</f>
        <v>0</v>
      </c>
      <c r="Q141" s="107">
        <f>SUM(Men_5[[#This Row],[RD8 XCO Fox Creek]:[RD9 XCO Willowie]])</f>
        <v>0</v>
      </c>
      <c r="R141" s="107">
        <f>Men_5[[#This Row],[Best 6 of 8 Overall]]+Men_5[[#This Row],[Best 3 of 4 XCM]]+Men_5[[#This Row],[Total of 2 XCO]]</f>
        <v>0</v>
      </c>
      <c r="S141" s="134" cm="1">
        <f t="array" ref="S141">68-SUM(IF(O141&gt;$O$18:$O$212,1/COUNTIF($O$18:$O$212,$O$18:$O$212)))</f>
        <v>68</v>
      </c>
    </row>
    <row r="142" spans="1:19" ht="16" hidden="1" x14ac:dyDescent="0.2">
      <c r="A142" s="103"/>
      <c r="B142" s="41" t="str">
        <f>_xlfn.IFNA(INDEX('RD1 Eagle'!$I$2:$I$154,MATCH(Men_5[[#This Row],[Rider]],'RD1 Eagle'!$F$2:$F$154,0)),"")</f>
        <v/>
      </c>
      <c r="C142" s="41" t="str">
        <f>_xlfn.IFNA(INDEX('RD2 Shepherds'!$I$2:$I$143,MATCH(Men_5[[#This Row],[Rider]],'RD2 Shepherds'!$F$2:$F$143,0)),"")</f>
        <v/>
      </c>
      <c r="D142" s="41" t="str">
        <f>_xlfn.IFNA(INDEX('RD3 XCO Sheps'!$I$2:$I$190,MATCH(Men_5[[#This Row],[Rider]],'RD3 XCO Sheps'!$F$2:$F$190,0)),"")</f>
        <v/>
      </c>
      <c r="E142" s="41" t="str">
        <f>_xlfn.IFNA(INDEX('RD4 Ohalloran'!$I$2:$I$180,MATCH(Men_5[[#This Row],[Rider]],'RD4 Ohalloran'!$F$2:$F$180,0)),"")</f>
        <v/>
      </c>
      <c r="F142" s="41" t="str">
        <f>_xlfn.IFNA(INDEX('RD5 Craigburn'!$I$2:$I$164,MATCH(Men_5[[#This Row],[Rider]],'RD5 Craigburn'!$F$2:$F$164,0)),"")</f>
        <v/>
      </c>
      <c r="G142" s="41" t="str">
        <f>_xlfn.IFNA(INDEX('RD6 Kinchina'!$I$2:$I$200,MATCH(Men_5[[#This Row],[Rider]],'RD6 Kinchina'!$F$2:$F$200,0)),"")</f>
        <v/>
      </c>
      <c r="H142" s="41" t="str">
        <f>_xlfn.IFNA(INDEX('RD7 O''Hallaron'!$I$2:$I$190,MATCH(Men_5[[#This Row],[Rider]],'RD7 O''Hallaron'!$F$2:$F$201,0)),"")</f>
        <v/>
      </c>
      <c r="I142" s="41" t="str">
        <f>_xlfn.IFNA(INDEX('RD8 Fox Creek'!$I$2:$I$204,MATCH(Men_5[[#This Row],[Rider]],'RD8 Fox Creek'!$F$2:$F$204,0)),"")</f>
        <v/>
      </c>
      <c r="J142" s="41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XCO Ohal]:[RD7 XCO O''Halloran]])</f>
        <v>0</v>
      </c>
      <c r="N142" s="59">
        <f>2-COUNTBLANK(Men_5[[#This Row],[RD8 XCO Fox Creek]:[RD9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Fox Creek]:[RD9 XCO Willowie]])</f>
        <v>0</v>
      </c>
      <c r="R142" s="60">
        <f>Men_5[[#This Row],[Best 6 of 8 Overall]]+Men_5[[#This Row],[Best 3 of 4 XCM]]+Men_5[[#This Row],[Total of 2 XCO]]</f>
        <v>0</v>
      </c>
      <c r="S142" s="134" cm="1">
        <f t="array" ref="S142">68-SUM(IF(O142&gt;$O$18:$O$212,1/COUNTIF($O$18:$O$212,$O$18:$O$212)))</f>
        <v>68</v>
      </c>
    </row>
    <row r="143" spans="1:19" ht="16" hidden="1" x14ac:dyDescent="0.2">
      <c r="A143" s="103"/>
      <c r="B143" s="38" t="str">
        <f>_xlfn.IFNA(INDEX('RD1 Eagle'!$I$2:$I$154,MATCH(Men_5[[#This Row],[Rider]],'RD1 Eagle'!$F$2:$F$154,0)),"")</f>
        <v/>
      </c>
      <c r="C143" s="38" t="str">
        <f>_xlfn.IFNA(INDEX('RD2 Shepherds'!$I$2:$I$143,MATCH(Men_5[[#This Row],[Rider]],'RD2 Shepherds'!$F$2:$F$143,0)),"")</f>
        <v/>
      </c>
      <c r="D143" s="38" t="str">
        <f>_xlfn.IFNA(INDEX('RD3 XCO Sheps'!$I$2:$I$190,MATCH(Men_5[[#This Row],[Rider]],'RD3 XCO Sheps'!$F$2:$F$190,0)),"")</f>
        <v/>
      </c>
      <c r="E143" s="38" t="str">
        <f>_xlfn.IFNA(INDEX('RD4 Ohalloran'!$I$2:$I$180,MATCH(Men_5[[#This Row],[Rider]],'RD4 Ohalloran'!$F$2:$F$180,0)),"")</f>
        <v/>
      </c>
      <c r="F143" s="38" t="str">
        <f>_xlfn.IFNA(INDEX('RD5 Craigburn'!$I$2:$I$164,MATCH(Men_5[[#This Row],[Rider]],'RD5 Craigburn'!$F$2:$F$164,0)),"")</f>
        <v/>
      </c>
      <c r="G143" s="38" t="str">
        <f>_xlfn.IFNA(INDEX('RD6 Kinchina'!$I$2:$I$200,MATCH(Men_5[[#This Row],[Rider]],'RD6 Kinchina'!$F$2:$F$200,0)),"")</f>
        <v/>
      </c>
      <c r="H143" s="38" t="str">
        <f>_xlfn.IFNA(INDEX('RD7 O''Hallaron'!$I$2:$I$190,MATCH(Men_5[[#This Row],[Rider]],'RD7 O''Hallaron'!$F$2:$F$201,0)),"")</f>
        <v/>
      </c>
      <c r="I143" s="38" t="str">
        <f>_xlfn.IFNA(INDEX('RD8 Fox Creek'!$I$2:$I$204,MATCH(Men_5[[#This Row],[Rider]],'RD8 Fox Creek'!$F$2:$F$204,0)),"")</f>
        <v/>
      </c>
      <c r="J143" s="38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O''Halloran]])</f>
        <v>0</v>
      </c>
      <c r="N143" s="59">
        <f>2-COUNTBLANK(Men_5[[#This Row],[RD8 XCO Fox Creek]:[RD9 XCO Willowie]])</f>
        <v>0</v>
      </c>
      <c r="O143" s="38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Fox Creek]:[RD9 XCO Willowie]])</f>
        <v>0</v>
      </c>
      <c r="R143" s="60">
        <f>Men_5[[#This Row],[Best 6 of 8 Overall]]+Men_5[[#This Row],[Best 3 of 4 XCM]]+Men_5[[#This Row],[Total of 2 XCO]]</f>
        <v>0</v>
      </c>
      <c r="S143" s="134" cm="1">
        <f t="array" ref="S143">68-SUM(IF(O143&gt;$O$18:$O$212,1/COUNTIF($O$18:$O$212,$O$18:$O$212)))</f>
        <v>68</v>
      </c>
    </row>
    <row r="144" spans="1:19" ht="16" hidden="1" x14ac:dyDescent="0.2">
      <c r="A144" s="103"/>
      <c r="B144" s="41" t="str">
        <f>_xlfn.IFNA(INDEX('RD1 Eagle'!$I$2:$I$154,MATCH(Men_5[[#This Row],[Rider]],'RD1 Eagle'!$F$2:$F$154,0)),"")</f>
        <v/>
      </c>
      <c r="C144" s="41" t="str">
        <f>_xlfn.IFNA(INDEX('RD2 Shepherds'!$I$2:$I$143,MATCH(Men_5[[#This Row],[Rider]],'RD2 Shepherds'!$F$2:$F$143,0)),"")</f>
        <v/>
      </c>
      <c r="D144" s="41" t="str">
        <f>_xlfn.IFNA(INDEX('RD3 XCO Sheps'!$I$2:$I$190,MATCH(Men_5[[#This Row],[Rider]],'RD3 XCO Sheps'!$F$2:$F$190,0)),"")</f>
        <v/>
      </c>
      <c r="E144" s="41" t="str">
        <f>_xlfn.IFNA(INDEX('RD4 Ohalloran'!$I$2:$I$180,MATCH(Men_5[[#This Row],[Rider]],'RD4 Ohalloran'!$F$2:$F$180,0)),"")</f>
        <v/>
      </c>
      <c r="F144" s="41" t="str">
        <f>_xlfn.IFNA(INDEX('RD5 Craigburn'!$I$2:$I$164,MATCH(Men_5[[#This Row],[Rider]],'RD5 Craigburn'!$F$2:$F$164,0)),"")</f>
        <v/>
      </c>
      <c r="G144" s="41" t="str">
        <f>_xlfn.IFNA(INDEX('RD6 Kinchina'!$I$2:$I$200,MATCH(Men_5[[#This Row],[Rider]],'RD6 Kinchina'!$F$2:$F$200,0)),"")</f>
        <v/>
      </c>
      <c r="H144" s="41" t="str">
        <f>_xlfn.IFNA(INDEX('RD7 O''Hallaron'!$I$2:$I$190,MATCH(Men_5[[#This Row],[Rider]],'RD7 O''Hallaron'!$F$2:$F$201,0)),"")</f>
        <v/>
      </c>
      <c r="I144" s="41" t="str">
        <f>_xlfn.IFNA(INDEX('RD8 Fox Creek'!$I$2:$I$204,MATCH(Men_5[[#This Row],[Rider]],'RD8 Fox Creek'!$F$2:$F$204,0)),"")</f>
        <v/>
      </c>
      <c r="J144" s="38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O''Halloran]])</f>
        <v>0</v>
      </c>
      <c r="N144" s="59">
        <f>2-COUNTBLANK(Men_5[[#This Row],[RD8 XCO Fox Creek]:[RD9 XCO Willowie]])</f>
        <v>0</v>
      </c>
      <c r="O144" s="38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Fox Creek]:[RD9 XCO Willowie]])</f>
        <v>0</v>
      </c>
      <c r="R144" s="60">
        <f>Men_5[[#This Row],[Best 6 of 8 Overall]]+Men_5[[#This Row],[Best 3 of 4 XCM]]+Men_5[[#This Row],[Total of 2 XCO]]</f>
        <v>0</v>
      </c>
      <c r="S144" s="134" cm="1">
        <f t="array" ref="S144">68-SUM(IF(O144&gt;$O$18:$O$212,1/COUNTIF($O$18:$O$212,$O$18:$O$212)))</f>
        <v>68</v>
      </c>
    </row>
    <row r="145" spans="1:19" ht="15" hidden="1" customHeight="1" x14ac:dyDescent="0.2">
      <c r="A145" s="141"/>
      <c r="B145" s="38" t="str">
        <f>_xlfn.IFNA(INDEX('RD1 Eagle'!$I$2:$I$154,MATCH(Men_5[[#This Row],[Rider]],'RD1 Eagle'!$F$2:$F$154,0)),"")</f>
        <v/>
      </c>
      <c r="C145" s="38" t="str">
        <f>_xlfn.IFNA(INDEX('RD2 Shepherds'!$I$2:$I$143,MATCH(Men_5[[#This Row],[Rider]],'RD2 Shepherds'!$F$2:$F$143,0)),"")</f>
        <v/>
      </c>
      <c r="D145" s="38" t="str">
        <f>_xlfn.IFNA(INDEX('RD3 XCO Sheps'!$I$2:$I$190,MATCH(Men_5[[#This Row],[Rider]],'RD3 XCO Sheps'!$F$2:$F$190,0)),"")</f>
        <v/>
      </c>
      <c r="E145" s="38" t="str">
        <f>_xlfn.IFNA(INDEX('RD4 Ohalloran'!$I$2:$I$180,MATCH(Men_5[[#This Row],[Rider]],'RD4 Ohalloran'!$F$2:$F$180,0)),"")</f>
        <v/>
      </c>
      <c r="F145" s="38" t="str">
        <f>_xlfn.IFNA(INDEX('RD5 Craigburn'!$I$2:$I$164,MATCH(Men_5[[#This Row],[Rider]],'RD5 Craigburn'!$F$2:$F$164,0)),"")</f>
        <v/>
      </c>
      <c r="G145" s="38" t="str">
        <f>_xlfn.IFNA(INDEX('RD6 Kinchina'!$I$2:$I$200,MATCH(Men_5[[#This Row],[Rider]],'RD6 Kinchina'!$F$2:$F$200,0)),"")</f>
        <v/>
      </c>
      <c r="H145" s="38" t="str">
        <f>_xlfn.IFNA(INDEX('RD7 O''Hallaron'!$I$2:$I$190,MATCH(Men_5[[#This Row],[Rider]],'RD7 O''Hallaron'!$F$2:$F$201,0)),"")</f>
        <v/>
      </c>
      <c r="I145" s="41" t="str">
        <f>_xlfn.IFNA(INDEX('RD8 Fox Creek'!$I$2:$I$204,MATCH(Men_5[[#This Row],[Rider]],'RD8 Fox Creek'!$F$2:$F$204,0)),"")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O''Halloran]])</f>
        <v>0</v>
      </c>
      <c r="N145" s="59">
        <f>2-COUNTBLANK(Men_5[[#This Row],[RD8 XCO Fox Creek]:[RD9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Fox Creek]:[RD9 XCO Willowie]])</f>
        <v>0</v>
      </c>
      <c r="R145" s="60">
        <f>Men_5[[#This Row],[Best 6 of 8 Overall]]+Men_5[[#This Row],[Best 3 of 4 XCM]]+Men_5[[#This Row],[Total of 2 XCO]]</f>
        <v>0</v>
      </c>
      <c r="S145" s="134" cm="1">
        <f t="array" ref="S145">68-SUM(IF(O145&gt;$O$18:$O$212,1/COUNTIF($O$18:$O$212,$O$18:$O$212)))</f>
        <v>68</v>
      </c>
    </row>
    <row r="146" spans="1:19" ht="16" hidden="1" x14ac:dyDescent="0.2">
      <c r="A146" s="103"/>
      <c r="B146" s="38" t="str">
        <f>_xlfn.IFNA(INDEX('RD1 Eagle'!$I$2:$I$154,MATCH(Men_5[[#This Row],[Rider]],'RD1 Eagle'!$F$2:$F$154,0)),"")</f>
        <v/>
      </c>
      <c r="C146" s="38" t="str">
        <f>_xlfn.IFNA(INDEX('RD2 Shepherds'!$I$2:$I$143,MATCH(Men_5[[#This Row],[Rider]],'RD2 Shepherds'!$F$2:$F$143,0)),"")</f>
        <v/>
      </c>
      <c r="D146" s="38" t="str">
        <f>_xlfn.IFNA(INDEX('RD3 XCO Sheps'!$I$2:$I$190,MATCH(Men_5[[#This Row],[Rider]],'RD3 XCO Sheps'!$F$2:$F$190,0)),"")</f>
        <v/>
      </c>
      <c r="E146" s="41" t="str">
        <f>_xlfn.IFNA(INDEX('RD4 Ohalloran'!$I$2:$I$180,MATCH(Men_5[[#This Row],[Rider]],'RD4 Ohalloran'!$F$2:$F$180,0)),"")</f>
        <v/>
      </c>
      <c r="F146" s="38" t="str">
        <f>_xlfn.IFNA(INDEX('RD5 Craigburn'!$I$2:$I$164,MATCH(Men_5[[#This Row],[Rider]],'RD5 Craigburn'!$F$2:$F$164,0)),"")</f>
        <v/>
      </c>
      <c r="G146" s="41" t="str">
        <f>_xlfn.IFNA(INDEX('RD6 Kinchina'!$I$2:$I$200,MATCH(Men_5[[#This Row],[Rider]],'RD6 Kinchina'!$F$2:$F$200,0)),"")</f>
        <v/>
      </c>
      <c r="H146" s="41" t="str">
        <f>_xlfn.IFNA(INDEX('RD7 O''Hallaron'!$I$2:$I$190,MATCH(Men_5[[#This Row],[Rider]],'RD7 O''Hallaron'!$F$2:$F$201,0)),"")</f>
        <v/>
      </c>
      <c r="I146" s="41" t="str">
        <f>_xlfn.IFNA(INDEX('RD8 Fox Creek'!$I$2:$I$204,MATCH(Men_5[[#This Row],[Rider]],'RD8 Fox Creek'!$F$2:$F$204,0)),"")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O''Halloran]])</f>
        <v>0</v>
      </c>
      <c r="N146" s="59">
        <f>2-COUNTBLANK(Men_5[[#This Row],[RD8 XCO Fox Creek]:[RD9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Fox Creek]:[RD9 XCO Willowie]])</f>
        <v>0</v>
      </c>
      <c r="R146" s="60">
        <f>Men_5[[#This Row],[Best 6 of 8 Overall]]+Men_5[[#This Row],[Best 3 of 4 XCM]]+Men_5[[#This Row],[Total of 2 XCO]]</f>
        <v>0</v>
      </c>
      <c r="S146" s="134" cm="1">
        <f t="array" ref="S146">68-SUM(IF(O146&gt;$O$18:$O$212,1/COUNTIF($O$18:$O$212,$O$18:$O$212)))</f>
        <v>68</v>
      </c>
    </row>
    <row r="147" spans="1:19" ht="16" hidden="1" x14ac:dyDescent="0.2">
      <c r="A147" s="103"/>
      <c r="B147" s="38" t="str">
        <f>_xlfn.IFNA(INDEX('RD1 Eagle'!$I$2:$I$154,MATCH(Men_5[[#This Row],[Rider]],'RD1 Eagle'!$F$2:$F$154,0)),"")</f>
        <v/>
      </c>
      <c r="C147" s="38" t="str">
        <f>_xlfn.IFNA(INDEX('RD2 Shepherds'!$I$2:$I$143,MATCH(Men_5[[#This Row],[Rider]],'RD2 Shepherds'!$F$2:$F$143,0)),"")</f>
        <v/>
      </c>
      <c r="D147" s="38" t="str">
        <f>_xlfn.IFNA(INDEX('RD3 XCO Sheps'!$I$2:$I$190,MATCH(Men_5[[#This Row],[Rider]],'RD3 XCO Sheps'!$F$2:$F$190,0)),"")</f>
        <v/>
      </c>
      <c r="E147" s="41" t="str">
        <f>_xlfn.IFNA(INDEX('RD4 Ohalloran'!$I$2:$I$180,MATCH(Men_5[[#This Row],[Rider]],'RD4 Ohalloran'!$F$2:$F$180,0)),"")</f>
        <v/>
      </c>
      <c r="F147" s="38" t="str">
        <f>_xlfn.IFNA(INDEX('RD5 Craigburn'!$I$2:$I$164,MATCH(Men_5[[#This Row],[Rider]],'RD5 Craigburn'!$F$2:$F$164,0)),"")</f>
        <v/>
      </c>
      <c r="G147" s="41" t="str">
        <f>_xlfn.IFNA(INDEX('RD6 Kinchina'!$I$2:$I$200,MATCH(Men_5[[#This Row],[Rider]],'RD6 Kinchina'!$F$2:$F$200,0)),"")</f>
        <v/>
      </c>
      <c r="H147" s="41" t="str">
        <f>_xlfn.IFNA(INDEX('RD7 O''Hallaron'!$I$2:$I$190,MATCH(Men_5[[#This Row],[Rider]],'RD7 O''Hallaron'!$F$2:$F$201,0)),"")</f>
        <v/>
      </c>
      <c r="I147" s="41" t="str">
        <f>_xlfn.IFNA(INDEX('RD8 Fox Creek'!$I$2:$I$204,MATCH(Men_5[[#This Row],[Rider]],'RD8 Fox Creek'!$F$2:$F$204,0)),"")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O''Halloran]])</f>
        <v>0</v>
      </c>
      <c r="N147" s="59">
        <f>2-COUNTBLANK(Men_5[[#This Row],[RD8 XCO Fox Creek]:[RD9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Fox Creek]:[RD9 XCO Willowie]])</f>
        <v>0</v>
      </c>
      <c r="R147" s="60">
        <f>Men_5[[#This Row],[Best 6 of 8 Overall]]+Men_5[[#This Row],[Best 3 of 4 XCM]]+Men_5[[#This Row],[Total of 2 XCO]]</f>
        <v>0</v>
      </c>
      <c r="S147" s="134" cm="1">
        <f t="array" ref="S147">68-SUM(IF(O147&gt;$O$18:$O$212,1/COUNTIF($O$18:$O$212,$O$18:$O$212)))</f>
        <v>68</v>
      </c>
    </row>
    <row r="148" spans="1:19" ht="16" hidden="1" x14ac:dyDescent="0.2">
      <c r="A148" s="103"/>
      <c r="B148" s="38" t="str">
        <f>_xlfn.IFNA(INDEX('RD1 Eagle'!$I$2:$I$154,MATCH(Men_5[[#This Row],[Rider]],'RD1 Eagle'!$F$2:$F$154,0)),"")</f>
        <v/>
      </c>
      <c r="C148" s="38" t="str">
        <f>_xlfn.IFNA(INDEX('RD2 Shepherds'!$I$2:$I$143,MATCH(Men_5[[#This Row],[Rider]],'RD2 Shepherds'!$F$2:$F$143,0)),"")</f>
        <v/>
      </c>
      <c r="D148" s="38" t="str">
        <f>_xlfn.IFNA(INDEX('RD3 XCO Sheps'!$I$2:$I$190,MATCH(Men_5[[#This Row],[Rider]],'RD3 XCO Sheps'!$F$2:$F$190,0)),"")</f>
        <v/>
      </c>
      <c r="E148" s="41" t="str">
        <f>_xlfn.IFNA(INDEX('RD4 Ohalloran'!$I$2:$I$180,MATCH(Men_5[[#This Row],[Rider]],'RD4 Ohalloran'!$F$2:$F$180,0)),"")</f>
        <v/>
      </c>
      <c r="F148" s="38" t="str">
        <f>_xlfn.IFNA(INDEX('RD5 Craigburn'!$I$2:$I$164,MATCH(Men_5[[#This Row],[Rider]],'RD5 Craigburn'!$F$2:$F$164,0)),"")</f>
        <v/>
      </c>
      <c r="G148" s="41" t="str">
        <f>_xlfn.IFNA(INDEX('RD6 Kinchina'!$I$2:$I$200,MATCH(Men_5[[#This Row],[Rider]],'RD6 Kinchina'!$F$2:$F$200,0)),"")</f>
        <v/>
      </c>
      <c r="H148" s="41" t="str">
        <f>_xlfn.IFNA(INDEX('RD7 O''Hallaron'!$I$2:$I$190,MATCH(Men_5[[#This Row],[Rider]],'RD7 O''Hallaron'!$F$2:$F$201,0)),"")</f>
        <v/>
      </c>
      <c r="I148" s="41" t="str">
        <f>_xlfn.IFNA(INDEX('RD8 Fox Creek'!$I$2:$I$204,MATCH(Men_5[[#This Row],[Rider]],'RD8 Fox Creek'!$F$2:$F$204,0)),"")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O''Halloran]])</f>
        <v>0</v>
      </c>
      <c r="N148" s="59">
        <f>2-COUNTBLANK(Men_5[[#This Row],[RD8 XCO Fox Creek]:[RD9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Fox Creek]:[RD9 XCO Willowie]])</f>
        <v>0</v>
      </c>
      <c r="R148" s="60">
        <f>Men_5[[#This Row],[Best 6 of 8 Overall]]+Men_5[[#This Row],[Best 3 of 4 XCM]]+Men_5[[#This Row],[Total of 2 XCO]]</f>
        <v>0</v>
      </c>
      <c r="S148" s="134" cm="1">
        <f t="array" ref="S148">68-SUM(IF(O148&gt;$O$18:$O$212,1/COUNTIF($O$18:$O$212,$O$18:$O$212)))</f>
        <v>68</v>
      </c>
    </row>
    <row r="149" spans="1:19" ht="16" hidden="1" x14ac:dyDescent="0.2">
      <c r="A149" s="103"/>
      <c r="B149" s="38" t="str">
        <f>_xlfn.IFNA(INDEX('RD1 Eagle'!$I$2:$I$154,MATCH(Men_5[[#This Row],[Rider]],'RD1 Eagle'!$F$2:$F$154,0)),"")</f>
        <v/>
      </c>
      <c r="C149" s="38" t="str">
        <f>_xlfn.IFNA(INDEX('RD2 Shepherds'!$I$2:$I$143,MATCH(Men_5[[#This Row],[Rider]],'RD2 Shepherds'!$F$2:$F$143,0)),"")</f>
        <v/>
      </c>
      <c r="D149" s="38" t="str">
        <f>_xlfn.IFNA(INDEX('RD3 XCO Sheps'!$I$2:$I$190,MATCH(Men_5[[#This Row],[Rider]],'RD3 XCO Sheps'!$F$2:$F$190,0)),"")</f>
        <v/>
      </c>
      <c r="E149" s="41" t="str">
        <f>_xlfn.IFNA(INDEX('RD4 Ohalloran'!$I$2:$I$180,MATCH(Men_5[[#This Row],[Rider]],'RD4 Ohalloran'!$F$2:$F$180,0)),"")</f>
        <v/>
      </c>
      <c r="F149" s="38" t="str">
        <f>_xlfn.IFNA(INDEX('RD5 Craigburn'!$I$2:$I$164,MATCH(Men_5[[#This Row],[Rider]],'RD5 Craigburn'!$F$2:$F$164,0)),"")</f>
        <v/>
      </c>
      <c r="G149" s="41" t="str">
        <f>_xlfn.IFNA(INDEX('RD6 Kinchina'!$I$2:$I$200,MATCH(Men_5[[#This Row],[Rider]],'RD6 Kinchina'!$F$2:$F$200,0)),"")</f>
        <v/>
      </c>
      <c r="H149" s="41" t="str">
        <f>_xlfn.IFNA(INDEX('RD7 O''Hallaron'!$I$2:$I$190,MATCH(Men_5[[#This Row],[Rider]],'RD7 O''Hallaron'!$F$2:$F$201,0)),"")</f>
        <v/>
      </c>
      <c r="I149" s="41" t="str">
        <f>_xlfn.IFNA(INDEX('RD8 Fox Creek'!$I$2:$I$204,MATCH(Men_5[[#This Row],[Rider]],'RD8 Fox Creek'!$F$2:$F$204,0)),"")</f>
        <v/>
      </c>
      <c r="J149" s="41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O''Halloran]])</f>
        <v>0</v>
      </c>
      <c r="N149" s="59">
        <f>2-COUNTBLANK(Men_5[[#This Row],[RD8 XCO Fox Creek]:[RD9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Fox Creek]:[RD9 XCO Willowie]])</f>
        <v>0</v>
      </c>
      <c r="R149" s="60">
        <f>Men_5[[#This Row],[Best 6 of 8 Overall]]+Men_5[[#This Row],[Best 3 of 4 XCM]]+Men_5[[#This Row],[Total of 2 XCO]]</f>
        <v>0</v>
      </c>
      <c r="S149" s="134" cm="1">
        <f t="array" ref="S149">68-SUM(IF(O149&gt;$O$18:$O$212,1/COUNTIF($O$18:$O$212,$O$18:$O$212)))</f>
        <v>68</v>
      </c>
    </row>
    <row r="150" spans="1:19" ht="16" hidden="1" x14ac:dyDescent="0.2">
      <c r="A150" s="103"/>
      <c r="B150" s="38" t="str">
        <f>_xlfn.IFNA(INDEX('RD1 Eagle'!$I$2:$I$154,MATCH(Men_5[[#This Row],[Rider]],'RD1 Eagle'!$F$2:$F$154,0)),"")</f>
        <v/>
      </c>
      <c r="C150" s="38" t="str">
        <f>_xlfn.IFNA(INDEX('RD2 Shepherds'!$I$2:$I$143,MATCH(Men_5[[#This Row],[Rider]],'RD2 Shepherds'!$F$2:$F$143,0)),"")</f>
        <v/>
      </c>
      <c r="D150" s="38" t="str">
        <f>_xlfn.IFNA(INDEX('RD3 XCO Sheps'!$I$2:$I$190,MATCH(Men_5[[#This Row],[Rider]],'RD3 XCO Sheps'!$F$2:$F$190,0)),"")</f>
        <v/>
      </c>
      <c r="E150" s="41" t="str">
        <f>_xlfn.IFNA(INDEX('RD4 Ohalloran'!$I$2:$I$180,MATCH(Men_5[[#This Row],[Rider]],'RD4 Ohalloran'!$F$2:$F$180,0)),"")</f>
        <v/>
      </c>
      <c r="F150" s="38" t="str">
        <f>_xlfn.IFNA(INDEX('RD5 Craigburn'!$I$2:$I$164,MATCH(Men_5[[#This Row],[Rider]],'RD5 Craigburn'!$F$2:$F$164,0)),"")</f>
        <v/>
      </c>
      <c r="G150" s="41" t="str">
        <f>_xlfn.IFNA(INDEX('RD6 Kinchina'!$I$2:$I$200,MATCH(Men_5[[#This Row],[Rider]],'RD6 Kinchina'!$F$2:$F$200,0)),"")</f>
        <v/>
      </c>
      <c r="H150" s="41" t="str">
        <f>_xlfn.IFNA(INDEX('RD7 O''Hallaron'!$I$2:$I$190,MATCH(Men_5[[#This Row],[Rider]],'RD7 O''Hallaron'!$F$2:$F$201,0)),"")</f>
        <v/>
      </c>
      <c r="I150" s="41" t="str">
        <f>_xlfn.IFNA(INDEX('RD8 Fox Creek'!$I$2:$I$204,MATCH(Men_5[[#This Row],[Rider]],'RD8 Fox Creek'!$F$2:$F$204,0)),"")</f>
        <v/>
      </c>
      <c r="J150" s="41" t="str">
        <f>_xlfn.IFNA(INDEX('RD9 XCM Melrose W'!$I$2:$I$194,MATCH(Men_5[[#This Row],[Rider]],'RD9 XCM Melrose W'!$F$2:$F$194,0)),"")</f>
        <v/>
      </c>
      <c r="K150" s="38">
        <f>9-COUNTBLANK(Men_5[[#This Row],[RD1 XCC Eagle]:[RD9 XCO Willowie]])</f>
        <v>0</v>
      </c>
      <c r="L150" s="59">
        <f>3-COUNTBLANK(Men_5[[#This Row],[RD1 XCC Eagle]:[RD3 XCO Sheps]])</f>
        <v>0</v>
      </c>
      <c r="M150" s="59">
        <f>4-COUNTBLANK(Men_5[[#This Row],[RD4 XCO Ohal]:[RD7 XCO O''Halloran]])</f>
        <v>0</v>
      </c>
      <c r="N150" s="59">
        <f>2-COUNTBLANK(Men_5[[#This Row],[RD8 XCO Fox Creek]:[RD9 XCO Willowie]])</f>
        <v>0</v>
      </c>
      <c r="O150" s="59" cm="1">
        <f t="array" ref="O150">IF(Men_5[[#This Row],[Number of Rounds]]&lt;=6,SUM(IF(ISNA(B150:J150),0,B150:J150)),SUM(LARGE(B150:J150,{1,2,3,4,5,6})))</f>
        <v>0</v>
      </c>
      <c r="P150" s="60" cm="1">
        <f t="array" ref="P150">IF(Men_5[[#This Row],[Number of Rounds XCM]]&lt;=3,SUM(IF(ISNA(E150:H150),0,E150:H150)),SUM(LARGE(E150:H150,{1,2,3})))</f>
        <v>0</v>
      </c>
      <c r="Q150" s="60">
        <f>SUM(Men_5[[#This Row],[RD8 XCO Fox Creek]:[RD9 XCO Willowie]])</f>
        <v>0</v>
      </c>
      <c r="R150" s="60">
        <f>Men_5[[#This Row],[Best 6 of 8 Overall]]+Men_5[[#This Row],[Best 3 of 4 XCM]]+Men_5[[#This Row],[Total of 2 XCO]]</f>
        <v>0</v>
      </c>
      <c r="S150" s="134" cm="1">
        <f t="array" ref="S150">68-SUM(IF(O150&gt;$O$18:$O$212,1/COUNTIF($O$18:$O$212,$O$18:$O$212)))</f>
        <v>68</v>
      </c>
    </row>
    <row r="151" spans="1:19" ht="16" hidden="1" x14ac:dyDescent="0.2">
      <c r="A151" s="103"/>
      <c r="B151" s="38" t="str">
        <f>_xlfn.IFNA(INDEX('RD1 Eagle'!$I$2:$I$154,MATCH(Men_5[[#This Row],[Rider]],'RD1 Eagle'!$F$2:$F$154,0)),"")</f>
        <v/>
      </c>
      <c r="C151" s="38" t="str">
        <f>_xlfn.IFNA(INDEX('RD2 Shepherds'!$I$2:$I$143,MATCH(Men_5[[#This Row],[Rider]],'RD2 Shepherds'!$F$2:$F$143,0)),"")</f>
        <v/>
      </c>
      <c r="D151" s="38" t="str">
        <f>_xlfn.IFNA(INDEX('RD3 XCO Sheps'!$I$2:$I$190,MATCH(Men_5[[#This Row],[Rider]],'RD3 XCO Sheps'!$F$2:$F$190,0)),"")</f>
        <v/>
      </c>
      <c r="E151" s="41" t="str">
        <f>_xlfn.IFNA(INDEX('RD4 Ohalloran'!$I$2:$I$180,MATCH(Men_5[[#This Row],[Rider]],'RD4 Ohalloran'!$F$2:$F$180,0)),"")</f>
        <v/>
      </c>
      <c r="F151" s="38" t="str">
        <f>_xlfn.IFNA(INDEX('RD5 Craigburn'!$I$2:$I$164,MATCH(Men_5[[#This Row],[Rider]],'RD5 Craigburn'!$F$2:$F$164,0)),"")</f>
        <v/>
      </c>
      <c r="G151" s="41" t="str">
        <f>_xlfn.IFNA(INDEX('RD6 Kinchina'!$I$2:$I$200,MATCH(Men_5[[#This Row],[Rider]],'RD6 Kinchina'!$F$2:$F$200,0)),"")</f>
        <v/>
      </c>
      <c r="H151" s="41" t="str">
        <f>_xlfn.IFNA(INDEX('RD7 O''Hallaron'!$I$2:$I$190,MATCH(Men_5[[#This Row],[Rider]],'RD7 O''Hallaron'!$F$2:$F$201,0)),"")</f>
        <v/>
      </c>
      <c r="I151" s="41" t="str">
        <f>_xlfn.IFNA(INDEX('RD8 Fox Creek'!$I$2:$I$204,MATCH(Men_5[[#This Row],[Rider]],'RD8 Fox Creek'!$F$2:$F$204,0)),"")</f>
        <v/>
      </c>
      <c r="J151" s="38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O''Halloran]])</f>
        <v>0</v>
      </c>
      <c r="N151" s="59">
        <f>2-COUNTBLANK(Men_5[[#This Row],[RD8 XCO Fox Creek]:[RD9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Fox Creek]:[RD9 XCO Willowie]])</f>
        <v>0</v>
      </c>
      <c r="R151" s="60">
        <f>Men_5[[#This Row],[Best 6 of 8 Overall]]+Men_5[[#This Row],[Best 3 of 4 XCM]]+Men_5[[#This Row],[Total of 2 XCO]]</f>
        <v>0</v>
      </c>
      <c r="S151" s="134" cm="1">
        <f t="array" ref="S151">68-SUM(IF(O151&gt;$O$18:$O$212,1/COUNTIF($O$18:$O$212,$O$18:$O$212)))</f>
        <v>68</v>
      </c>
    </row>
    <row r="152" spans="1:19" ht="16" hidden="1" x14ac:dyDescent="0.2">
      <c r="A152" s="103"/>
      <c r="B152" s="120" t="str">
        <f>_xlfn.IFNA(INDEX('RD1 Eagle'!$I$2:$I$154,MATCH(Men_5[[#This Row],[Rider]],'RD1 Eagle'!$F$2:$F$154,0)),"")</f>
        <v/>
      </c>
      <c r="C152" s="120" t="str">
        <f>_xlfn.IFNA(INDEX('RD2 Shepherds'!$I$2:$I$143,MATCH(Men_5[[#This Row],[Rider]],'RD2 Shepherds'!$F$2:$F$143,0)),"")</f>
        <v/>
      </c>
      <c r="D152" s="120" t="str">
        <f>_xlfn.IFNA(INDEX('RD3 XCO Sheps'!$I$2:$I$190,MATCH(Men_5[[#This Row],[Rider]],'RD3 XCO Sheps'!$F$2:$F$190,0)),"")</f>
        <v/>
      </c>
      <c r="E152" s="41" t="str">
        <f>_xlfn.IFNA(INDEX('RD4 Ohalloran'!$I$2:$I$180,MATCH(Men_5[[#This Row],[Rider]],'RD4 Ohalloran'!$F$2:$F$180,0)),"")</f>
        <v/>
      </c>
      <c r="F152" s="38" t="str">
        <f>_xlfn.IFNA(INDEX('RD5 Craigburn'!$I$2:$I$164,MATCH(Men_5[[#This Row],[Rider]],'RD5 Craigburn'!$F$2:$F$164,0)),"")</f>
        <v/>
      </c>
      <c r="G152" s="41" t="str">
        <f>_xlfn.IFNA(INDEX('RD6 Kinchina'!$I$2:$I$200,MATCH(Men_5[[#This Row],[Rider]],'RD6 Kinchina'!$F$2:$F$200,0)),"")</f>
        <v/>
      </c>
      <c r="H152" s="41" t="str">
        <f>_xlfn.IFNA(INDEX('RD7 O''Hallaron'!$I$2:$I$190,MATCH(Men_5[[#This Row],[Rider]],'RD7 O''Hallaron'!$F$2:$F$201,0)),"")</f>
        <v/>
      </c>
      <c r="I152" s="41" t="str">
        <f>_xlfn.IFNA(INDEX('RD8 Fox Creek'!$I$2:$I$204,MATCH(Men_5[[#This Row],[Rider]],'RD8 Fox Creek'!$F$2:$F$204,0)),"")</f>
        <v/>
      </c>
      <c r="J152" s="120" t="str">
        <f>_xlfn.IFNA(INDEX('RD9 XCM Melrose W'!$I$2:$I$194,MATCH(Men_5[[#This Row],[Rider]],'RD9 XCM Melrose W'!$F$2:$F$194,0)),"")</f>
        <v/>
      </c>
      <c r="K152" s="120">
        <f>9-COUNTBLANK(Men_5[[#This Row],[RD1 XCC Eagle]:[RD9 XCO Willowie]])</f>
        <v>0</v>
      </c>
      <c r="L152" s="121">
        <f>3-COUNTBLANK(Men_5[[#This Row],[RD1 XCC Eagle]:[RD3 XCO Sheps]])</f>
        <v>0</v>
      </c>
      <c r="M152" s="121">
        <f>4-COUNTBLANK(Men_5[[#This Row],[RD4 XCO Ohal]:[RD7 XCO O''Halloran]])</f>
        <v>0</v>
      </c>
      <c r="N152" s="121">
        <f>2-COUNTBLANK(Men_5[[#This Row],[RD8 XCO Fox Creek]:[RD9 XCO Willowie]])</f>
        <v>0</v>
      </c>
      <c r="O152" s="121" cm="1">
        <f t="array" ref="O152">IF(Men_5[[#This Row],[Number of Rounds]]&lt;=6,SUM(IF(ISNA(B152:J152),0,B152:J152)),SUM(LARGE(B152:J152,{1,2,3,4,5,6})))</f>
        <v>0</v>
      </c>
      <c r="P152" s="121" cm="1">
        <f t="array" ref="P152">IF(Men_5[[#This Row],[Number of Rounds XCM]]&lt;=3,SUM(IF(ISNA(E152:H152),0,E152:H152)),SUM(LARGE(E152:H152,{1,2,3})))</f>
        <v>0</v>
      </c>
      <c r="Q152" s="121">
        <f>SUM(Men_5[[#This Row],[RD8 XCO Fox Creek]:[RD9 XCO Willowie]])</f>
        <v>0</v>
      </c>
      <c r="R152" s="121">
        <f>Men_5[[#This Row],[Best 6 of 8 Overall]]+Men_5[[#This Row],[Best 3 of 4 XCM]]+Men_5[[#This Row],[Total of 2 XCO]]</f>
        <v>0</v>
      </c>
      <c r="S152" s="134" cm="1">
        <f t="array" ref="S152">68-SUM(IF(O152&gt;$O$18:$O$212,1/COUNTIF($O$18:$O$212,$O$18:$O$212)))</f>
        <v>68</v>
      </c>
    </row>
    <row r="153" spans="1:19" ht="16" hidden="1" x14ac:dyDescent="0.2">
      <c r="A153" s="103"/>
      <c r="B153" s="38" t="str">
        <f>_xlfn.IFNA(INDEX('RD1 Eagle'!$I$2:$I$154,MATCH(Men_5[[#This Row],[Rider]],'RD1 Eagle'!$F$2:$F$154,0)),"")</f>
        <v/>
      </c>
      <c r="C153" s="38" t="str">
        <f>_xlfn.IFNA(INDEX('RD2 Shepherds'!$I$2:$I$143,MATCH(Men_5[[#This Row],[Rider]],'RD2 Shepherds'!$F$2:$F$143,0)),"")</f>
        <v/>
      </c>
      <c r="D153" s="38" t="str">
        <f>_xlfn.IFNA(INDEX('RD3 XCO Sheps'!$I$2:$I$190,MATCH(Men_5[[#This Row],[Rider]],'RD3 XCO Sheps'!$F$2:$F$190,0)),"")</f>
        <v/>
      </c>
      <c r="E153" s="41" t="str">
        <f>_xlfn.IFNA(INDEX('RD4 Ohalloran'!$I$2:$I$180,MATCH(Men_5[[#This Row],[Rider]],'RD4 Ohalloran'!$F$2:$F$180,0)),"")</f>
        <v/>
      </c>
      <c r="F153" s="38" t="str">
        <f>_xlfn.IFNA(INDEX('RD5 Craigburn'!$I$2:$I$164,MATCH(Men_5[[#This Row],[Rider]],'RD5 Craigburn'!$F$2:$F$164,0)),"")</f>
        <v/>
      </c>
      <c r="G153" s="41" t="str">
        <f>_xlfn.IFNA(INDEX('RD6 Kinchina'!$I$2:$I$200,MATCH(Men_5[[#This Row],[Rider]],'RD6 Kinchina'!$F$2:$F$200,0)),"")</f>
        <v/>
      </c>
      <c r="H153" s="41" t="str">
        <f>_xlfn.IFNA(INDEX('RD7 O''Hallaron'!$I$2:$I$190,MATCH(Men_5[[#This Row],[Rider]],'RD7 O''Hallaron'!$F$2:$F$201,0)),"")</f>
        <v/>
      </c>
      <c r="I153" s="41" t="str">
        <f>_xlfn.IFNA(INDEX('RD8 Fox Creek'!$I$2:$I$204,MATCH(Men_5[[#This Row],[Rider]],'RD8 Fox Creek'!$F$2:$F$204,0)),"")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O''Halloran]])</f>
        <v>0</v>
      </c>
      <c r="N153" s="59">
        <f>2-COUNTBLANK(Men_5[[#This Row],[RD8 XCO Fox Creek]:[RD9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Fox Creek]:[RD9 XCO Willowie]])</f>
        <v>0</v>
      </c>
      <c r="R153" s="60">
        <f>Men_5[[#This Row],[Best 6 of 8 Overall]]+Men_5[[#This Row],[Best 3 of 4 XCM]]+Men_5[[#This Row],[Total of 2 XCO]]</f>
        <v>0</v>
      </c>
      <c r="S153" s="134" cm="1">
        <f t="array" ref="S153">68-SUM(IF(O153&gt;$O$18:$O$212,1/COUNTIF($O$18:$O$212,$O$18:$O$212)))</f>
        <v>68</v>
      </c>
    </row>
    <row r="154" spans="1:19" ht="16" hidden="1" x14ac:dyDescent="0.2">
      <c r="A154" s="103"/>
      <c r="B154" s="38" t="str">
        <f>_xlfn.IFNA(INDEX('RD1 Eagle'!$I$2:$I$154,MATCH(Men_5[[#This Row],[Rider]],'RD1 Eagle'!$F$2:$F$154,0)),"")</f>
        <v/>
      </c>
      <c r="C154" s="38" t="str">
        <f>_xlfn.IFNA(INDEX('RD2 Shepherds'!$I$2:$I$143,MATCH(Men_5[[#This Row],[Rider]],'RD2 Shepherds'!$F$2:$F$143,0)),"")</f>
        <v/>
      </c>
      <c r="D154" s="38" t="str">
        <f>_xlfn.IFNA(INDEX('RD3 XCO Sheps'!$I$2:$I$190,MATCH(Men_5[[#This Row],[Rider]],'RD3 XCO Sheps'!$F$2:$F$190,0)),"")</f>
        <v/>
      </c>
      <c r="E154" s="41" t="str">
        <f>_xlfn.IFNA(INDEX('RD4 Ohalloran'!$I$2:$I$180,MATCH(Men_5[[#This Row],[Rider]],'RD4 Ohalloran'!$F$2:$F$180,0)),"")</f>
        <v/>
      </c>
      <c r="F154" s="38" t="str">
        <f>_xlfn.IFNA(INDEX('RD5 Craigburn'!$I$2:$I$164,MATCH(Men_5[[#This Row],[Rider]],'RD5 Craigburn'!$F$2:$F$164,0)),"")</f>
        <v/>
      </c>
      <c r="G154" s="41" t="str">
        <f>_xlfn.IFNA(INDEX('RD6 Kinchina'!$I$2:$I$200,MATCH(Men_5[[#This Row],[Rider]],'RD6 Kinchina'!$F$2:$F$200,0)),"")</f>
        <v/>
      </c>
      <c r="H154" s="41" t="str">
        <f>_xlfn.IFNA(INDEX('RD7 O''Hallaron'!$I$2:$I$190,MATCH(Men_5[[#This Row],[Rider]],'RD7 O''Hallaron'!$F$2:$F$201,0)),"")</f>
        <v/>
      </c>
      <c r="I154" s="41" t="str">
        <f>_xlfn.IFNA(INDEX('RD8 Fox Creek'!$I$2:$I$204,MATCH(Men_5[[#This Row],[Rider]],'RD8 Fox Creek'!$F$2:$F$204,0)),"")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O''Halloran]])</f>
        <v>0</v>
      </c>
      <c r="N154" s="59">
        <f>2-COUNTBLANK(Men_5[[#This Row],[RD8 XCO Fox Creek]:[RD9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Fox Creek]:[RD9 XCO Willowie]])</f>
        <v>0</v>
      </c>
      <c r="R154" s="60">
        <f>Men_5[[#This Row],[Best 6 of 8 Overall]]+Men_5[[#This Row],[Best 3 of 4 XCM]]+Men_5[[#This Row],[Total of 2 XCO]]</f>
        <v>0</v>
      </c>
      <c r="S154" s="134" cm="1">
        <f t="array" ref="S154">68-SUM(IF(O154&gt;$O$18:$O$212,1/COUNTIF($O$18:$O$212,$O$18:$O$212)))</f>
        <v>68</v>
      </c>
    </row>
    <row r="155" spans="1:19" ht="16" hidden="1" x14ac:dyDescent="0.2">
      <c r="A155" s="103"/>
      <c r="B155" s="38" t="str">
        <f>_xlfn.IFNA(INDEX('RD1 Eagle'!$I$2:$I$154,MATCH(Men_5[[#This Row],[Rider]],'RD1 Eagle'!$F$2:$F$154,0)),"")</f>
        <v/>
      </c>
      <c r="C155" s="38" t="str">
        <f>_xlfn.IFNA(INDEX('RD2 Shepherds'!$I$2:$I$143,MATCH(Men_5[[#This Row],[Rider]],'RD2 Shepherds'!$F$2:$F$143,0)),"")</f>
        <v/>
      </c>
      <c r="D155" s="38" t="str">
        <f>_xlfn.IFNA(INDEX('RD3 XCO Sheps'!$I$2:$I$190,MATCH(Men_5[[#This Row],[Rider]],'RD3 XCO Sheps'!$F$2:$F$190,0)),"")</f>
        <v/>
      </c>
      <c r="E155" s="41" t="str">
        <f>_xlfn.IFNA(INDEX('RD4 Ohalloran'!$I$2:$I$180,MATCH(Men_5[[#This Row],[Rider]],'RD4 Ohalloran'!$F$2:$F$180,0)),"")</f>
        <v/>
      </c>
      <c r="F155" s="38" t="str">
        <f>_xlfn.IFNA(INDEX('RD5 Craigburn'!$I$2:$I$164,MATCH(Men_5[[#This Row],[Rider]],'RD5 Craigburn'!$F$2:$F$164,0)),"")</f>
        <v/>
      </c>
      <c r="G155" s="41" t="str">
        <f>_xlfn.IFNA(INDEX('RD6 Kinchina'!$I$2:$I$200,MATCH(Men_5[[#This Row],[Rider]],'RD6 Kinchina'!$F$2:$F$200,0)),"")</f>
        <v/>
      </c>
      <c r="H155" s="41" t="str">
        <f>_xlfn.IFNA(INDEX('RD7 O''Hallaron'!$I$2:$I$190,MATCH(Men_5[[#This Row],[Rider]],'RD7 O''Hallaron'!$F$2:$F$201,0)),"")</f>
        <v/>
      </c>
      <c r="I155" s="41" t="str">
        <f>_xlfn.IFNA(INDEX('RD8 Fox Creek'!$I$2:$I$204,MATCH(Men_5[[#This Row],[Rider]],'RD8 Fox Creek'!$F$2:$F$204,0)),"")</f>
        <v/>
      </c>
      <c r="J155" s="41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O''Halloran]])</f>
        <v>0</v>
      </c>
      <c r="N155" s="59">
        <f>2-COUNTBLANK(Men_5[[#This Row],[RD8 XCO Fox Creek]:[RD9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60" cm="1">
        <f t="array" ref="P155">IF(Men_5[[#This Row],[Number of Rounds XCM]]&lt;=3,SUM(IF(ISNA(E155:H155),0,E155:H155)),SUM(LARGE(E155:H155,{1,2,3})))</f>
        <v>0</v>
      </c>
      <c r="Q155" s="60">
        <f>SUM(Men_5[[#This Row],[RD8 XCO Fox Creek]:[RD9 XCO Willowie]])</f>
        <v>0</v>
      </c>
      <c r="R155" s="60">
        <f>Men_5[[#This Row],[Best 6 of 8 Overall]]+Men_5[[#This Row],[Best 3 of 4 XCM]]+Men_5[[#This Row],[Total of 2 XCO]]</f>
        <v>0</v>
      </c>
      <c r="S155" s="134" cm="1">
        <f t="array" ref="S155">68-SUM(IF(O155&gt;$O$18:$O$212,1/COUNTIF($O$18:$O$212,$O$18:$O$212)))</f>
        <v>68</v>
      </c>
    </row>
    <row r="156" spans="1:19" ht="16" hidden="1" x14ac:dyDescent="0.2">
      <c r="A156" s="103"/>
      <c r="B156" s="38" t="str">
        <f>_xlfn.IFNA(INDEX('RD1 Eagle'!$I$2:$I$154,MATCH(Men_5[[#This Row],[Rider]],'RD1 Eagle'!$F$2:$F$154,0)),"")</f>
        <v/>
      </c>
      <c r="C156" s="38" t="str">
        <f>_xlfn.IFNA(INDEX('RD2 Shepherds'!$I$2:$I$143,MATCH(Men_5[[#This Row],[Rider]],'RD2 Shepherds'!$F$2:$F$143,0)),"")</f>
        <v/>
      </c>
      <c r="D156" s="38" t="str">
        <f>_xlfn.IFNA(INDEX('RD3 XCO Sheps'!$I$2:$I$190,MATCH(Men_5[[#This Row],[Rider]],'RD3 XCO Sheps'!$F$2:$F$190,0)),"")</f>
        <v/>
      </c>
      <c r="E156" s="41" t="str">
        <f>_xlfn.IFNA(INDEX('RD4 Ohalloran'!$I$2:$I$180,MATCH(Men_5[[#This Row],[Rider]],'RD4 Ohalloran'!$F$2:$F$180,0)),"")</f>
        <v/>
      </c>
      <c r="F156" s="38" t="str">
        <f>_xlfn.IFNA(INDEX('RD5 Craigburn'!$I$2:$I$164,MATCH(Men_5[[#This Row],[Rider]],'RD5 Craigburn'!$F$2:$F$164,0)),"")</f>
        <v/>
      </c>
      <c r="G156" s="41" t="str">
        <f>_xlfn.IFNA(INDEX('RD6 Kinchina'!$I$2:$I$200,MATCH(Men_5[[#This Row],[Rider]],'RD6 Kinchina'!$F$2:$F$200,0)),"")</f>
        <v/>
      </c>
      <c r="H156" s="41" t="str">
        <f>_xlfn.IFNA(INDEX('RD7 O''Hallaron'!$I$2:$I$190,MATCH(Men_5[[#This Row],[Rider]],'RD7 O''Hallaron'!$F$2:$F$201,0)),"")</f>
        <v/>
      </c>
      <c r="I156" s="41" t="str">
        <f>_xlfn.IFNA(INDEX('RD8 Fox Creek'!$I$2:$I$204,MATCH(Men_5[[#This Row],[Rider]],'RD8 Fox Creek'!$F$2:$F$204,0)),"")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O''Halloran]])</f>
        <v>0</v>
      </c>
      <c r="N156" s="59">
        <f>2-COUNTBLANK(Men_5[[#This Row],[RD8 XCO Fox Creek]:[RD9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Fox Creek]:[RD9 XCO Willowie]])</f>
        <v>0</v>
      </c>
      <c r="R156" s="60">
        <f>Men_5[[#This Row],[Best 6 of 8 Overall]]+Men_5[[#This Row],[Best 3 of 4 XCM]]+Men_5[[#This Row],[Total of 2 XCO]]</f>
        <v>0</v>
      </c>
      <c r="S156" s="134" cm="1">
        <f t="array" ref="S156">68-SUM(IF(O156&gt;$O$18:$O$212,1/COUNTIF($O$18:$O$212,$O$18:$O$212)))</f>
        <v>68</v>
      </c>
    </row>
    <row r="157" spans="1:19" ht="16" hidden="1" x14ac:dyDescent="0.2">
      <c r="A157" s="103"/>
      <c r="B157" s="38" t="str">
        <f>_xlfn.IFNA(INDEX('RD1 Eagle'!$I$2:$I$154,MATCH(Men_5[[#This Row],[Rider]],'RD1 Eagle'!$F$2:$F$154,0)),"")</f>
        <v/>
      </c>
      <c r="C157" s="38" t="str">
        <f>_xlfn.IFNA(INDEX('RD2 Shepherds'!$I$2:$I$143,MATCH(Men_5[[#This Row],[Rider]],'RD2 Shepherds'!$F$2:$F$143,0)),"")</f>
        <v/>
      </c>
      <c r="D157" s="38" t="str">
        <f>_xlfn.IFNA(INDEX('RD3 XCO Sheps'!$I$2:$I$190,MATCH(Men_5[[#This Row],[Rider]],'RD3 XCO Sheps'!$F$2:$F$190,0)),"")</f>
        <v/>
      </c>
      <c r="E157" s="38" t="str">
        <f>_xlfn.IFNA(INDEX('RD4 Ohalloran'!$I$2:$I$180,MATCH(Men_5[[#This Row],[Rider]],'RD4 Ohalloran'!$F$2:$F$180,0)),"")</f>
        <v/>
      </c>
      <c r="F157" s="38" t="str">
        <f>_xlfn.IFNA(INDEX('RD5 Craigburn'!$I$2:$I$164,MATCH(Men_5[[#This Row],[Rider]],'RD5 Craigburn'!$F$2:$F$164,0)),"")</f>
        <v/>
      </c>
      <c r="G157" s="38" t="str">
        <f>_xlfn.IFNA(INDEX('RD6 Kinchina'!$I$2:$I$200,MATCH(Men_5[[#This Row],[Rider]],'RD6 Kinchina'!$F$2:$F$200,0)),"")</f>
        <v/>
      </c>
      <c r="H157" s="38" t="str">
        <f>_xlfn.IFNA(INDEX('RD7 O''Hallaron'!$I$2:$I$190,MATCH(Men_5[[#This Row],[Rider]],'RD7 O''Hallaron'!$F$2:$F$201,0)),"")</f>
        <v/>
      </c>
      <c r="I157" s="38" t="str">
        <f>_xlfn.IFNA(INDEX('RD8 Fox Creek'!$I$2:$I$204,MATCH(Men_5[[#This Row],[Rider]],'RD8 Fox Creek'!$F$2:$F$204,0)),"")</f>
        <v/>
      </c>
      <c r="J157" s="38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O''Halloran]])</f>
        <v>0</v>
      </c>
      <c r="N157" s="59">
        <f>2-COUNTBLANK(Men_5[[#This Row],[RD8 XCO Fox Creek]:[RD9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59" cm="1">
        <f t="array" ref="P157">IF(Men_5[[#This Row],[Number of Rounds XCM]]&lt;=3,SUM(IF(ISNA(E157:H157),0,E157:H157)),SUM(LARGE(E157:H157,{1,2,3})))</f>
        <v>0</v>
      </c>
      <c r="Q157" s="59">
        <f>SUM(Men_5[[#This Row],[RD8 XCO Fox Creek]:[RD9 XCO Willowie]])</f>
        <v>0</v>
      </c>
      <c r="R157" s="59">
        <f>Men_5[[#This Row],[Best 6 of 8 Overall]]+Men_5[[#This Row],[Best 3 of 4 XCM]]+Men_5[[#This Row],[Total of 2 XCO]]</f>
        <v>0</v>
      </c>
      <c r="S157" s="134" cm="1">
        <f t="array" ref="S157">68-SUM(IF(O157&gt;$O$18:$O$212,1/COUNTIF($O$18:$O$212,$O$18:$O$212)))</f>
        <v>68</v>
      </c>
    </row>
    <row r="158" spans="1:19" ht="16" hidden="1" x14ac:dyDescent="0.2">
      <c r="A158" s="103"/>
      <c r="B158" s="38" t="str">
        <f>_xlfn.IFNA(INDEX('RD1 Eagle'!$I$2:$I$154,MATCH(Men_5[[#This Row],[Rider]],'RD1 Eagle'!$F$2:$F$154,0)),"")</f>
        <v/>
      </c>
      <c r="C158" s="38" t="str">
        <f>_xlfn.IFNA(INDEX('RD2 Shepherds'!$I$2:$I$143,MATCH(Men_5[[#This Row],[Rider]],'RD2 Shepherds'!$F$2:$F$143,0)),"")</f>
        <v/>
      </c>
      <c r="D158" s="38" t="str">
        <f>_xlfn.IFNA(INDEX('RD3 XCO Sheps'!$I$2:$I$190,MATCH(Men_5[[#This Row],[Rider]],'RD3 XCO Sheps'!$F$2:$F$190,0)),"")</f>
        <v/>
      </c>
      <c r="E158" s="41" t="str">
        <f>_xlfn.IFNA(INDEX('RD4 Ohalloran'!$I$2:$I$180,MATCH(Men_5[[#This Row],[Rider]],'RD4 Ohalloran'!$F$2:$F$180,0)),"")</f>
        <v/>
      </c>
      <c r="F158" s="38" t="str">
        <f>_xlfn.IFNA(INDEX('RD5 Craigburn'!$I$2:$I$164,MATCH(Men_5[[#This Row],[Rider]],'RD5 Craigburn'!$F$2:$F$164,0)),"")</f>
        <v/>
      </c>
      <c r="G158" s="41" t="str">
        <f>_xlfn.IFNA(INDEX('RD6 Kinchina'!$I$2:$I$200,MATCH(Men_5[[#This Row],[Rider]],'RD6 Kinchina'!$F$2:$F$200,0)),"")</f>
        <v/>
      </c>
      <c r="H158" s="41" t="str">
        <f>_xlfn.IFNA(INDEX('RD7 O''Hallaron'!$I$2:$I$190,MATCH(Men_5[[#This Row],[Rider]],'RD7 O''Hallaron'!$F$2:$F$201,0)),"")</f>
        <v/>
      </c>
      <c r="I158" s="41" t="str">
        <f>_xlfn.IFNA(INDEX('RD8 Fox Creek'!$I$2:$I$204,MATCH(Men_5[[#This Row],[Rider]],'RD8 Fox Creek'!$F$2:$F$204,0)),"")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O''Halloran]])</f>
        <v>0</v>
      </c>
      <c r="N158" s="59">
        <f>2-COUNTBLANK(Men_5[[#This Row],[RD8 XCO Fox Creek]:[RD9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Fox Creek]:[RD9 XCO Willowie]])</f>
        <v>0</v>
      </c>
      <c r="R158" s="60">
        <f>Men_5[[#This Row],[Best 6 of 8 Overall]]+Men_5[[#This Row],[Best 3 of 4 XCM]]+Men_5[[#This Row],[Total of 2 XCO]]</f>
        <v>0</v>
      </c>
      <c r="S158" s="134" cm="1">
        <f t="array" ref="S158">68-SUM(IF(O158&gt;$O$18:$O$212,1/COUNTIF($O$18:$O$212,$O$18:$O$212)))</f>
        <v>68</v>
      </c>
    </row>
    <row r="159" spans="1:19" ht="16" hidden="1" x14ac:dyDescent="0.2">
      <c r="A159" s="103"/>
      <c r="B159" s="38" t="str">
        <f>_xlfn.IFNA(INDEX('RD1 Eagle'!$I$2:$I$154,MATCH(Men_5[[#This Row],[Rider]],'RD1 Eagle'!$F$2:$F$154,0)),"")</f>
        <v/>
      </c>
      <c r="C159" s="38" t="str">
        <f>_xlfn.IFNA(INDEX('RD2 Shepherds'!$I$2:$I$143,MATCH(Men_5[[#This Row],[Rider]],'RD2 Shepherds'!$F$2:$F$143,0)),"")</f>
        <v/>
      </c>
      <c r="D159" s="38" t="str">
        <f>_xlfn.IFNA(INDEX('RD3 XCO Sheps'!$I$2:$I$190,MATCH(Men_5[[#This Row],[Rider]],'RD3 XCO Sheps'!$F$2:$F$190,0)),"")</f>
        <v/>
      </c>
      <c r="E159" s="41" t="str">
        <f>_xlfn.IFNA(INDEX('RD4 Ohalloran'!$I$2:$I$180,MATCH(Men_5[[#This Row],[Rider]],'RD4 Ohalloran'!$F$2:$F$180,0)),"")</f>
        <v/>
      </c>
      <c r="F159" s="38" t="str">
        <f>_xlfn.IFNA(INDEX('RD5 Craigburn'!$I$2:$I$164,MATCH(Men_5[[#This Row],[Rider]],'RD5 Craigburn'!$F$2:$F$164,0)),"")</f>
        <v/>
      </c>
      <c r="G159" s="41" t="str">
        <f>_xlfn.IFNA(INDEX('RD6 Kinchina'!$I$2:$I$200,MATCH(Men_5[[#This Row],[Rider]],'RD6 Kinchina'!$F$2:$F$200,0)),"")</f>
        <v/>
      </c>
      <c r="H159" s="41" t="str">
        <f>_xlfn.IFNA(INDEX('RD7 O''Hallaron'!$I$2:$I$190,MATCH(Men_5[[#This Row],[Rider]],'RD7 O''Hallaron'!$F$2:$F$201,0)),"")</f>
        <v/>
      </c>
      <c r="I159" s="41" t="str">
        <f>_xlfn.IFNA(INDEX('RD8 Fox Creek'!$I$2:$I$204,MATCH(Men_5[[#This Row],[Rider]],'RD8 Fox Creek'!$F$2:$F$204,0)),"")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O''Halloran]])</f>
        <v>0</v>
      </c>
      <c r="N159" s="59">
        <f>2-COUNTBLANK(Men_5[[#This Row],[RD8 XCO Fox Creek]:[RD9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Fox Creek]:[RD9 XCO Willowie]])</f>
        <v>0</v>
      </c>
      <c r="R159" s="60">
        <f>Men_5[[#This Row],[Best 6 of 8 Overall]]+Men_5[[#This Row],[Best 3 of 4 XCM]]+Men_5[[#This Row],[Total of 2 XCO]]</f>
        <v>0</v>
      </c>
      <c r="S159" s="134" cm="1">
        <f t="array" ref="S159">68-SUM(IF(O159&gt;$O$18:$O$212,1/COUNTIF($O$18:$O$212,$O$18:$O$212)))</f>
        <v>68</v>
      </c>
    </row>
    <row r="160" spans="1:19" ht="16" hidden="1" x14ac:dyDescent="0.2">
      <c r="A160" s="103"/>
      <c r="B160" s="38" t="str">
        <f>_xlfn.IFNA(INDEX('RD1 Eagle'!$I$2:$I$154,MATCH(Men_5[[#This Row],[Rider]],'RD1 Eagle'!$F$2:$F$154,0)),"")</f>
        <v/>
      </c>
      <c r="C160" s="38" t="str">
        <f>_xlfn.IFNA(INDEX('RD2 Shepherds'!$I$2:$I$143,MATCH(Men_5[[#This Row],[Rider]],'RD2 Shepherds'!$F$2:$F$143,0)),"")</f>
        <v/>
      </c>
      <c r="D160" s="38" t="str">
        <f>_xlfn.IFNA(INDEX('RD3 XCO Sheps'!$I$2:$I$190,MATCH(Men_5[[#This Row],[Rider]],'RD3 XCO Sheps'!$F$2:$F$190,0)),"")</f>
        <v/>
      </c>
      <c r="E160" s="41" t="str">
        <f>_xlfn.IFNA(INDEX('RD4 Ohalloran'!$I$2:$I$180,MATCH(Men_5[[#This Row],[Rider]],'RD4 Ohalloran'!$F$2:$F$180,0)),"")</f>
        <v/>
      </c>
      <c r="F160" s="38" t="str">
        <f>_xlfn.IFNA(INDEX('RD5 Craigburn'!$I$2:$I$164,MATCH(Men_5[[#This Row],[Rider]],'RD5 Craigburn'!$F$2:$F$164,0)),"")</f>
        <v/>
      </c>
      <c r="G160" s="41" t="str">
        <f>_xlfn.IFNA(INDEX('RD6 Kinchina'!$I$2:$I$200,MATCH(Men_5[[#This Row],[Rider]],'RD6 Kinchina'!$F$2:$F$200,0)),"")</f>
        <v/>
      </c>
      <c r="H160" s="41" t="str">
        <f>_xlfn.IFNA(INDEX('RD7 O''Hallaron'!$I$2:$I$190,MATCH(Men_5[[#This Row],[Rider]],'RD7 O''Hallaron'!$F$2:$F$201,0)),"")</f>
        <v/>
      </c>
      <c r="I160" s="41" t="str">
        <f>_xlfn.IFNA(INDEX('RD8 Fox Creek'!$I$2:$I$204,MATCH(Men_5[[#This Row],[Rider]],'RD8 Fox Creek'!$F$2:$F$204,0)),"")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O''Halloran]])</f>
        <v>0</v>
      </c>
      <c r="N160" s="59">
        <f>2-COUNTBLANK(Men_5[[#This Row],[RD8 XCO Fox Creek]:[RD9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Fox Creek]:[RD9 XCO Willowie]])</f>
        <v>0</v>
      </c>
      <c r="R160" s="60">
        <f>Men_5[[#This Row],[Best 6 of 8 Overall]]+Men_5[[#This Row],[Best 3 of 4 XCM]]+Men_5[[#This Row],[Total of 2 XCO]]</f>
        <v>0</v>
      </c>
      <c r="S160" s="134" cm="1">
        <f t="array" ref="S160">68-SUM(IF(O160&gt;$O$18:$O$212,1/COUNTIF($O$18:$O$212,$O$18:$O$212)))</f>
        <v>68</v>
      </c>
    </row>
    <row r="161" spans="1:19" ht="16" hidden="1" x14ac:dyDescent="0.2">
      <c r="A161" s="103"/>
      <c r="B161" s="38" t="str">
        <f>_xlfn.IFNA(INDEX('RD1 Eagle'!$I$2:$I$154,MATCH(Men_5[[#This Row],[Rider]],'RD1 Eagle'!$F$2:$F$154,0)),"")</f>
        <v/>
      </c>
      <c r="C161" s="38" t="str">
        <f>_xlfn.IFNA(INDEX('RD2 Shepherds'!$I$2:$I$143,MATCH(Men_5[[#This Row],[Rider]],'RD2 Shepherds'!$F$2:$F$143,0)),"")</f>
        <v/>
      </c>
      <c r="D161" s="38" t="str">
        <f>_xlfn.IFNA(INDEX('RD3 XCO Sheps'!$I$2:$I$190,MATCH(Men_5[[#This Row],[Rider]],'RD3 XCO Sheps'!$F$2:$F$190,0)),"")</f>
        <v/>
      </c>
      <c r="E161" s="41" t="str">
        <f>_xlfn.IFNA(INDEX('RD4 Ohalloran'!$I$2:$I$180,MATCH(Men_5[[#This Row],[Rider]],'RD4 Ohalloran'!$F$2:$F$180,0)),"")</f>
        <v/>
      </c>
      <c r="F161" s="38" t="str">
        <f>_xlfn.IFNA(INDEX('RD5 Craigburn'!$I$2:$I$164,MATCH(Men_5[[#This Row],[Rider]],'RD5 Craigburn'!$F$2:$F$164,0)),"")</f>
        <v/>
      </c>
      <c r="G161" s="41" t="str">
        <f>_xlfn.IFNA(INDEX('RD6 Kinchina'!$I$2:$I$200,MATCH(Men_5[[#This Row],[Rider]],'RD6 Kinchina'!$F$2:$F$200,0)),"")</f>
        <v/>
      </c>
      <c r="H161" s="41" t="str">
        <f>_xlfn.IFNA(INDEX('RD7 O''Hallaron'!$I$2:$I$190,MATCH(Men_5[[#This Row],[Rider]],'RD7 O''Hallaron'!$F$2:$F$201,0)),"")</f>
        <v/>
      </c>
      <c r="I161" s="41" t="str">
        <f>_xlfn.IFNA(INDEX('RD8 Fox Creek'!$I$2:$I$204,MATCH(Men_5[[#This Row],[Rider]],'RD8 Fox Creek'!$F$2:$F$204,0)),"")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O''Halloran]])</f>
        <v>0</v>
      </c>
      <c r="N161" s="59">
        <f>2-COUNTBLANK(Men_5[[#This Row],[RD8 XCO Fox Creek]:[RD9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Fox Creek]:[RD9 XCO Willowie]])</f>
        <v>0</v>
      </c>
      <c r="R161" s="60">
        <f>Men_5[[#This Row],[Best 6 of 8 Overall]]+Men_5[[#This Row],[Best 3 of 4 XCM]]+Men_5[[#This Row],[Total of 2 XCO]]</f>
        <v>0</v>
      </c>
      <c r="S161" s="134" cm="1">
        <f t="array" ref="S161">68-SUM(IF(O161&gt;$O$18:$O$212,1/COUNTIF($O$18:$O$212,$O$18:$O$212)))</f>
        <v>68</v>
      </c>
    </row>
    <row r="162" spans="1:19" ht="16" hidden="1" x14ac:dyDescent="0.2">
      <c r="A162" s="103"/>
      <c r="B162" s="38" t="str">
        <f>_xlfn.IFNA(INDEX('RD1 Eagle'!$I$2:$I$154,MATCH(Men_5[[#This Row],[Rider]],'RD1 Eagle'!$F$2:$F$154,0)),"")</f>
        <v/>
      </c>
      <c r="C162" s="38" t="str">
        <f>_xlfn.IFNA(INDEX('RD2 Shepherds'!$I$2:$I$143,MATCH(Men_5[[#This Row],[Rider]],'RD2 Shepherds'!$F$2:$F$143,0)),"")</f>
        <v/>
      </c>
      <c r="D162" s="38" t="str">
        <f>_xlfn.IFNA(INDEX('RD3 XCO Sheps'!$I$2:$I$190,MATCH(Men_5[[#This Row],[Rider]],'RD3 XCO Sheps'!$F$2:$F$190,0)),"")</f>
        <v/>
      </c>
      <c r="E162" s="41" t="str">
        <f>_xlfn.IFNA(INDEX('RD4 Ohalloran'!$I$2:$I$180,MATCH(Men_5[[#This Row],[Rider]],'RD4 Ohalloran'!$F$2:$F$180,0)),"")</f>
        <v/>
      </c>
      <c r="F162" s="38" t="str">
        <f>_xlfn.IFNA(INDEX('RD5 Craigburn'!$I$2:$I$164,MATCH(Men_5[[#This Row],[Rider]],'RD5 Craigburn'!$F$2:$F$164,0)),"")</f>
        <v/>
      </c>
      <c r="G162" s="41" t="str">
        <f>_xlfn.IFNA(INDEX('RD6 Kinchina'!$I$2:$I$200,MATCH(Men_5[[#This Row],[Rider]],'RD6 Kinchina'!$F$2:$F$200,0)),"")</f>
        <v/>
      </c>
      <c r="H162" s="41" t="str">
        <f>_xlfn.IFNA(INDEX('RD7 O''Hallaron'!$I$2:$I$190,MATCH(Men_5[[#This Row],[Rider]],'RD7 O''Hallaron'!$F$2:$F$201,0)),"")</f>
        <v/>
      </c>
      <c r="I162" s="41" t="str">
        <f>_xlfn.IFNA(INDEX('RD8 Fox Creek'!$I$2:$I$204,MATCH(Men_5[[#This Row],[Rider]],'RD8 Fox Creek'!$F$2:$F$204,0)),"")</f>
        <v/>
      </c>
      <c r="J162" s="41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O''Halloran]])</f>
        <v>0</v>
      </c>
      <c r="N162" s="59">
        <f>2-COUNTBLANK(Men_5[[#This Row],[RD8 XCO Fox Creek]:[RD9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Fox Creek]:[RD9 XCO Willowie]])</f>
        <v>0</v>
      </c>
      <c r="R162" s="60">
        <f>Men_5[[#This Row],[Best 6 of 8 Overall]]+Men_5[[#This Row],[Best 3 of 4 XCM]]+Men_5[[#This Row],[Total of 2 XCO]]</f>
        <v>0</v>
      </c>
      <c r="S162" s="134" cm="1">
        <f t="array" ref="S162">68-SUM(IF(O162&gt;$O$18:$O$212,1/COUNTIF($O$18:$O$212,$O$18:$O$212)))</f>
        <v>68</v>
      </c>
    </row>
    <row r="163" spans="1:19" ht="16" hidden="1" x14ac:dyDescent="0.2">
      <c r="A163" s="103"/>
      <c r="B163" s="38" t="str">
        <f>_xlfn.IFNA(INDEX('RD1 Eagle'!$I$2:$I$154,MATCH(Men_5[[#This Row],[Rider]],'RD1 Eagle'!$F$2:$F$154,0)),"")</f>
        <v/>
      </c>
      <c r="C163" s="38" t="str">
        <f>_xlfn.IFNA(INDEX('RD2 Shepherds'!$I$2:$I$143,MATCH(Men_5[[#This Row],[Rider]],'RD2 Shepherds'!$F$2:$F$143,0)),"")</f>
        <v/>
      </c>
      <c r="D163" s="38" t="str">
        <f>_xlfn.IFNA(INDEX('RD3 XCO Sheps'!$I$2:$I$190,MATCH(Men_5[[#This Row],[Rider]],'RD3 XCO Sheps'!$F$2:$F$190,0)),"")</f>
        <v/>
      </c>
      <c r="E163" s="41" t="str">
        <f>_xlfn.IFNA(INDEX('RD4 Ohalloran'!$I$2:$I$180,MATCH(Men_5[[#This Row],[Rider]],'RD4 Ohalloran'!$F$2:$F$180,0)),"")</f>
        <v/>
      </c>
      <c r="F163" s="38" t="str">
        <f>_xlfn.IFNA(INDEX('RD5 Craigburn'!$I$2:$I$164,MATCH(Men_5[[#This Row],[Rider]],'RD5 Craigburn'!$F$2:$F$164,0)),"")</f>
        <v/>
      </c>
      <c r="G163" s="41" t="str">
        <f>_xlfn.IFNA(INDEX('RD6 Kinchina'!$I$2:$I$200,MATCH(Men_5[[#This Row],[Rider]],'RD6 Kinchina'!$F$2:$F$200,0)),"")</f>
        <v/>
      </c>
      <c r="H163" s="41" t="str">
        <f>_xlfn.IFNA(INDEX('RD7 O''Hallaron'!$I$2:$I$190,MATCH(Men_5[[#This Row],[Rider]],'RD7 O''Hallaron'!$F$2:$F$201,0)),"")</f>
        <v/>
      </c>
      <c r="I163" s="41" t="str">
        <f>_xlfn.IFNA(INDEX('RD8 Fox Creek'!$I$2:$I$204,MATCH(Men_5[[#This Row],[Rider]],'RD8 Fox Creek'!$F$2:$F$204,0)),"")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O''Halloran]])</f>
        <v>0</v>
      </c>
      <c r="N163" s="59">
        <f>2-COUNTBLANK(Men_5[[#This Row],[RD8 XCO Fox Creek]:[RD9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Fox Creek]:[RD9 XCO Willowie]])</f>
        <v>0</v>
      </c>
      <c r="R163" s="60">
        <f>Men_5[[#This Row],[Best 6 of 8 Overall]]+Men_5[[#This Row],[Best 3 of 4 XCM]]+Men_5[[#This Row],[Total of 2 XCO]]</f>
        <v>0</v>
      </c>
      <c r="S163" s="134" cm="1">
        <f t="array" ref="S163">68-SUM(IF(O163&gt;$O$18:$O$212,1/COUNTIF($O$18:$O$212,$O$18:$O$212)))</f>
        <v>68</v>
      </c>
    </row>
    <row r="164" spans="1:19" ht="16" hidden="1" x14ac:dyDescent="0.2">
      <c r="A164" s="103"/>
      <c r="B164" s="38" t="str">
        <f>_xlfn.IFNA(INDEX('RD1 Eagle'!$I$2:$I$154,MATCH(Men_5[[#This Row],[Rider]],'RD1 Eagle'!$F$2:$F$154,0)),"")</f>
        <v/>
      </c>
      <c r="C164" s="38" t="str">
        <f>_xlfn.IFNA(INDEX('RD2 Shepherds'!$I$2:$I$143,MATCH(Men_5[[#This Row],[Rider]],'RD2 Shepherds'!$F$2:$F$143,0)),"")</f>
        <v/>
      </c>
      <c r="D164" s="38" t="str">
        <f>_xlfn.IFNA(INDEX('RD3 XCO Sheps'!$I$2:$I$190,MATCH(Men_5[[#This Row],[Rider]],'RD3 XCO Sheps'!$F$2:$F$190,0)),"")</f>
        <v/>
      </c>
      <c r="E164" s="38" t="str">
        <f>_xlfn.IFNA(INDEX('RD4 Ohalloran'!$I$2:$I$180,MATCH(Men_5[[#This Row],[Rider]],'RD4 Ohalloran'!$F$2:$F$180,0)),"")</f>
        <v/>
      </c>
      <c r="F164" s="38" t="str">
        <f>_xlfn.IFNA(INDEX('RD5 Craigburn'!$I$2:$I$164,MATCH(Men_5[[#This Row],[Rider]],'RD5 Craigburn'!$F$2:$F$164,0)),"")</f>
        <v/>
      </c>
      <c r="G164" s="38" t="str">
        <f>_xlfn.IFNA(INDEX('RD6 Kinchina'!$I$2:$I$200,MATCH(Men_5[[#This Row],[Rider]],'RD6 Kinchina'!$F$2:$F$200,0)),"")</f>
        <v/>
      </c>
      <c r="H164" s="38" t="str">
        <f>_xlfn.IFNA(INDEX('RD7 O''Hallaron'!$I$2:$I$190,MATCH(Men_5[[#This Row],[Rider]],'RD7 O''Hallaron'!$F$2:$F$201,0)),"")</f>
        <v/>
      </c>
      <c r="I164" s="38" t="str">
        <f>_xlfn.IFNA(INDEX('RD8 Fox Creek'!$I$2:$I$204,MATCH(Men_5[[#This Row],[Rider]],'RD8 Fox Creek'!$F$2:$F$204,0)),"")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O''Halloran]])</f>
        <v>0</v>
      </c>
      <c r="N164" s="59">
        <f>2-COUNTBLANK(Men_5[[#This Row],[RD8 XCO Fox Creek]:[RD9 XCO Willowie]])</f>
        <v>0</v>
      </c>
      <c r="O164" s="59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Fox Creek]:[RD9 XCO Willowie]])</f>
        <v>0</v>
      </c>
      <c r="R164" s="60">
        <f>Men_5[[#This Row],[Best 6 of 8 Overall]]+Men_5[[#This Row],[Best 3 of 4 XCM]]+Men_5[[#This Row],[Total of 2 XCO]]</f>
        <v>0</v>
      </c>
      <c r="S164" s="134" cm="1">
        <f t="array" ref="S164">68-SUM(IF(O164&gt;$O$18:$O$212,1/COUNTIF($O$18:$O$212,$O$18:$O$212)))</f>
        <v>68</v>
      </c>
    </row>
    <row r="165" spans="1:19" ht="16" hidden="1" x14ac:dyDescent="0.2">
      <c r="A165" s="103"/>
      <c r="B165" s="38" t="str">
        <f>_xlfn.IFNA(INDEX('RD1 Eagle'!$I$2:$I$154,MATCH(Men_5[[#This Row],[Rider]],'RD1 Eagle'!$F$2:$F$154,0)),"")</f>
        <v/>
      </c>
      <c r="C165" s="38" t="str">
        <f>_xlfn.IFNA(INDEX('RD2 Shepherds'!$I$2:$I$143,MATCH(Men_5[[#This Row],[Rider]],'RD2 Shepherds'!$F$2:$F$143,0)),"")</f>
        <v/>
      </c>
      <c r="D165" s="38" t="str">
        <f>_xlfn.IFNA(INDEX('RD3 XCO Sheps'!$I$2:$I$190,MATCH(Men_5[[#This Row],[Rider]],'RD3 XCO Sheps'!$F$2:$F$190,0)),"")</f>
        <v/>
      </c>
      <c r="E165" s="41" t="str">
        <f>_xlfn.IFNA(INDEX('RD4 Ohalloran'!$I$2:$I$180,MATCH(Men_5[[#This Row],[Rider]],'RD4 Ohalloran'!$F$2:$F$180,0)),"")</f>
        <v/>
      </c>
      <c r="F165" s="38" t="str">
        <f>_xlfn.IFNA(INDEX('RD5 Craigburn'!$I$2:$I$164,MATCH(Men_5[[#This Row],[Rider]],'RD5 Craigburn'!$F$2:$F$164,0)),"")</f>
        <v/>
      </c>
      <c r="G165" s="41" t="str">
        <f>_xlfn.IFNA(INDEX('RD6 Kinchina'!$I$2:$I$200,MATCH(Men_5[[#This Row],[Rider]],'RD6 Kinchina'!$F$2:$F$200,0)),"")</f>
        <v/>
      </c>
      <c r="H165" s="41" t="str">
        <f>_xlfn.IFNA(INDEX('RD7 O''Hallaron'!$I$2:$I$190,MATCH(Men_5[[#This Row],[Rider]],'RD7 O''Hallaron'!$F$2:$F$201,0)),"")</f>
        <v/>
      </c>
      <c r="I165" s="41" t="str">
        <f>_xlfn.IFNA(INDEX('RD8 Fox Creek'!$I$2:$I$204,MATCH(Men_5[[#This Row],[Rider]],'RD8 Fox Creek'!$F$2:$F$204,0)),"")</f>
        <v/>
      </c>
      <c r="J165" s="41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O''Halloran]])</f>
        <v>0</v>
      </c>
      <c r="N165" s="59">
        <f>2-COUNTBLANK(Men_5[[#This Row],[RD8 XCO Fox Creek]:[RD9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60" cm="1">
        <f t="array" ref="P165">IF(Men_5[[#This Row],[Number of Rounds XCM]]&lt;=3,SUM(IF(ISNA(E165:H165),0,E165:H165)),SUM(LARGE(E165:H165,{1,2,3})))</f>
        <v>0</v>
      </c>
      <c r="Q165" s="60">
        <f>SUM(Men_5[[#This Row],[RD8 XCO Fox Creek]:[RD9 XCO Willowie]])</f>
        <v>0</v>
      </c>
      <c r="R165" s="60">
        <f>Men_5[[#This Row],[Best 6 of 8 Overall]]+Men_5[[#This Row],[Best 3 of 4 XCM]]+Men_5[[#This Row],[Total of 2 XCO]]</f>
        <v>0</v>
      </c>
      <c r="S165" s="134" cm="1">
        <f t="array" ref="S165">68-SUM(IF(O165&gt;$O$18:$O$212,1/COUNTIF($O$18:$O$212,$O$18:$O$212)))</f>
        <v>68</v>
      </c>
    </row>
    <row r="166" spans="1:19" ht="16" hidden="1" x14ac:dyDescent="0.2">
      <c r="A166" s="103"/>
      <c r="B166" s="38" t="str">
        <f>_xlfn.IFNA(INDEX('RD1 Eagle'!$I$2:$I$154,MATCH(Men_5[[#This Row],[Rider]],'RD1 Eagle'!$F$2:$F$154,0)),"")</f>
        <v/>
      </c>
      <c r="C166" s="38" t="str">
        <f>_xlfn.IFNA(INDEX('RD2 Shepherds'!$I$2:$I$143,MATCH(Men_5[[#This Row],[Rider]],'RD2 Shepherds'!$F$2:$F$143,0)),"")</f>
        <v/>
      </c>
      <c r="D166" s="38" t="str">
        <f>_xlfn.IFNA(INDEX('RD3 XCO Sheps'!$I$2:$I$190,MATCH(Men_5[[#This Row],[Rider]],'RD3 XCO Sheps'!$F$2:$F$190,0)),"")</f>
        <v/>
      </c>
      <c r="E166" s="38" t="str">
        <f>_xlfn.IFNA(INDEX('RD4 Ohalloran'!$I$2:$I$180,MATCH(Men_5[[#This Row],[Rider]],'RD4 Ohalloran'!$F$2:$F$180,0)),"")</f>
        <v/>
      </c>
      <c r="F166" s="38" t="str">
        <f>_xlfn.IFNA(INDEX('RD5 Craigburn'!$I$2:$I$164,MATCH(Men_5[[#This Row],[Rider]],'RD5 Craigburn'!$F$2:$F$164,0)),"")</f>
        <v/>
      </c>
      <c r="G166" s="38" t="str">
        <f>_xlfn.IFNA(INDEX('RD6 Kinchina'!$I$2:$I$200,MATCH(Men_5[[#This Row],[Rider]],'RD6 Kinchina'!$F$2:$F$200,0)),"")</f>
        <v/>
      </c>
      <c r="H166" s="38" t="str">
        <f>_xlfn.IFNA(INDEX('RD7 O''Hallaron'!$I$2:$I$190,MATCH(Men_5[[#This Row],[Rider]],'RD7 O''Hallaron'!$F$2:$F$201,0)),"")</f>
        <v/>
      </c>
      <c r="I166" s="38" t="str">
        <f>_xlfn.IFNA(INDEX('RD8 Fox Creek'!$I$2:$I$204,MATCH(Men_5[[#This Row],[Rider]],'RD8 Fox Creek'!$F$2:$F$204,0)),"")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O''Halloran]])</f>
        <v>0</v>
      </c>
      <c r="N166" s="60">
        <f>2-COUNTBLANK(Men_5[[#This Row],[RD8 XCO Fox Creek]:[RD9 XCO Willowie]])</f>
        <v>0</v>
      </c>
      <c r="O166" s="60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Fox Creek]:[RD9 XCO Willowie]])</f>
        <v>0</v>
      </c>
      <c r="R166" s="59">
        <f>Men_5[[#This Row],[Best 6 of 8 Overall]]+Men_5[[#This Row],[Best 3 of 4 XCM]]+Men_5[[#This Row],[Total of 2 XCO]]</f>
        <v>0</v>
      </c>
      <c r="S166" s="134" cm="1">
        <f t="array" ref="S166">68-SUM(IF(O166&gt;$O$18:$O$212,1/COUNTIF($O$18:$O$212,$O$18:$O$212)))</f>
        <v>68</v>
      </c>
    </row>
    <row r="167" spans="1:19" ht="16" hidden="1" x14ac:dyDescent="0.2">
      <c r="A167" s="103"/>
      <c r="B167" s="38" t="str">
        <f>_xlfn.IFNA(INDEX('RD1 Eagle'!$I$2:$I$154,MATCH(Men_5[[#This Row],[Rider]],'RD1 Eagle'!$F$2:$F$154,0)),"")</f>
        <v/>
      </c>
      <c r="C167" s="38" t="str">
        <f>_xlfn.IFNA(INDEX('RD2 Shepherds'!$I$2:$I$143,MATCH(Men_5[[#This Row],[Rider]],'RD2 Shepherds'!$F$2:$F$143,0)),"")</f>
        <v/>
      </c>
      <c r="D167" s="38" t="str">
        <f>_xlfn.IFNA(INDEX('RD3 XCO Sheps'!$I$2:$I$190,MATCH(Men_5[[#This Row],[Rider]],'RD3 XCO Sheps'!$F$2:$F$190,0)),"")</f>
        <v/>
      </c>
      <c r="E167" s="38" t="str">
        <f>_xlfn.IFNA(INDEX('RD4 Ohalloran'!$I$2:$I$180,MATCH(Men_5[[#This Row],[Rider]],'RD4 Ohalloran'!$F$2:$F$180,0)),"")</f>
        <v/>
      </c>
      <c r="F167" s="38" t="str">
        <f>_xlfn.IFNA(INDEX('RD5 Craigburn'!$I$2:$I$164,MATCH(Men_5[[#This Row],[Rider]],'RD5 Craigburn'!$F$2:$F$164,0)),"")</f>
        <v/>
      </c>
      <c r="G167" s="38" t="str">
        <f>_xlfn.IFNA(INDEX('RD6 Kinchina'!$I$2:$I$200,MATCH(Men_5[[#This Row],[Rider]],'RD6 Kinchina'!$F$2:$F$200,0)),"")</f>
        <v/>
      </c>
      <c r="H167" s="38" t="str">
        <f>_xlfn.IFNA(INDEX('RD7 O''Hallaron'!$I$2:$I$190,MATCH(Men_5[[#This Row],[Rider]],'RD7 O''Hallaron'!$F$2:$F$201,0)),"")</f>
        <v/>
      </c>
      <c r="I167" s="38" t="str">
        <f>_xlfn.IFNA(INDEX('RD8 Fox Creek'!$I$2:$I$204,MATCH(Men_5[[#This Row],[Rider]],'RD8 Fox Creek'!$F$2:$F$204,0)),"")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O''Halloran]])</f>
        <v>0</v>
      </c>
      <c r="N167" s="59">
        <f>2-COUNTBLANK(Men_5[[#This Row],[RD8 XCO Fox Creek]:[RD9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59" cm="1">
        <f t="array" ref="P167">IF(Men_5[[#This Row],[Number of Rounds XCM]]&lt;=3,SUM(IF(ISNA(E167:H167),0,E167:H167)),SUM(LARGE(E167:H167,{1,2,3})))</f>
        <v>0</v>
      </c>
      <c r="Q167" s="59">
        <f>SUM(Men_5[[#This Row],[RD8 XCO Fox Creek]:[RD9 XCO Willowie]])</f>
        <v>0</v>
      </c>
      <c r="R167" s="59">
        <f>Men_5[[#This Row],[Best 6 of 8 Overall]]+Men_5[[#This Row],[Best 3 of 4 XCM]]+Men_5[[#This Row],[Total of 2 XCO]]</f>
        <v>0</v>
      </c>
      <c r="S167" s="134" cm="1">
        <f t="array" ref="S167">68-SUM(IF(O167&gt;$O$18:$O$212,1/COUNTIF($O$18:$O$212,$O$18:$O$212)))</f>
        <v>68</v>
      </c>
    </row>
    <row r="168" spans="1:19" ht="16" hidden="1" x14ac:dyDescent="0.2">
      <c r="A168" s="103"/>
      <c r="B168" s="38" t="str">
        <f>_xlfn.IFNA(INDEX('RD1 Eagle'!$I$2:$I$154,MATCH(Men_5[[#This Row],[Rider]],'RD1 Eagle'!$F$2:$F$154,0)),"")</f>
        <v/>
      </c>
      <c r="C168" s="38" t="str">
        <f>_xlfn.IFNA(INDEX('RD2 Shepherds'!$I$2:$I$143,MATCH(Men_5[[#This Row],[Rider]],'RD2 Shepherds'!$F$2:$F$143,0)),"")</f>
        <v/>
      </c>
      <c r="D168" s="38" t="str">
        <f>_xlfn.IFNA(INDEX('RD3 XCO Sheps'!$I$2:$I$190,MATCH(Men_5[[#This Row],[Rider]],'RD3 XCO Sheps'!$F$2:$F$190,0)),"")</f>
        <v/>
      </c>
      <c r="E168" s="38" t="str">
        <f>_xlfn.IFNA(INDEX('RD4 Ohalloran'!$I$2:$I$180,MATCH(Men_5[[#This Row],[Rider]],'RD4 Ohalloran'!$F$2:$F$180,0)),"")</f>
        <v/>
      </c>
      <c r="F168" s="38" t="str">
        <f>_xlfn.IFNA(INDEX('RD5 Craigburn'!$I$2:$I$164,MATCH(Men_5[[#This Row],[Rider]],'RD5 Craigburn'!$F$2:$F$164,0)),"")</f>
        <v/>
      </c>
      <c r="G168" s="38" t="str">
        <f>_xlfn.IFNA(INDEX('RD6 Kinchina'!$I$2:$I$200,MATCH(Men_5[[#This Row],[Rider]],'RD6 Kinchina'!$F$2:$F$200,0)),"")</f>
        <v/>
      </c>
      <c r="H168" s="38" t="str">
        <f>_xlfn.IFNA(INDEX('RD7 O''Hallaron'!$I$2:$I$190,MATCH(Men_5[[#This Row],[Rider]],'RD7 O''Hallaron'!$F$2:$F$201,0)),"")</f>
        <v/>
      </c>
      <c r="I168" s="38" t="str">
        <f>_xlfn.IFNA(INDEX('RD8 Fox Creek'!$I$2:$I$204,MATCH(Men_5[[#This Row],[Rider]],'RD8 Fox Creek'!$F$2:$F$204,0)),"")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O''Halloran]])</f>
        <v>0</v>
      </c>
      <c r="N168" s="59">
        <f>2-COUNTBLANK(Men_5[[#This Row],[RD8 XCO Fox Creek]:[RD9 XCO Willowie]])</f>
        <v>0</v>
      </c>
      <c r="O168" s="38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Fox Creek]:[RD9 XCO Willowie]])</f>
        <v>0</v>
      </c>
      <c r="R168" s="59">
        <f>Men_5[[#This Row],[Best 6 of 8 Overall]]+Men_5[[#This Row],[Best 3 of 4 XCM]]+Men_5[[#This Row],[Total of 2 XCO]]</f>
        <v>0</v>
      </c>
      <c r="S168" s="134" cm="1">
        <f t="array" ref="S168">68-SUM(IF(O168&gt;$O$18:$O$212,1/COUNTIF($O$18:$O$212,$O$18:$O$212)))</f>
        <v>68</v>
      </c>
    </row>
    <row r="169" spans="1:19" ht="16" hidden="1" x14ac:dyDescent="0.2">
      <c r="A169" s="103"/>
      <c r="B169" s="38" t="str">
        <f>_xlfn.IFNA(INDEX('RD1 Eagle'!$I$2:$I$154,MATCH(Men_5[[#This Row],[Rider]],'RD1 Eagle'!$F$2:$F$154,0)),"")</f>
        <v/>
      </c>
      <c r="C169" s="38" t="str">
        <f>_xlfn.IFNA(INDEX('RD2 Shepherds'!$I$2:$I$143,MATCH(Men_5[[#This Row],[Rider]],'RD2 Shepherds'!$F$2:$F$143,0)),"")</f>
        <v/>
      </c>
      <c r="D169" s="38" t="str">
        <f>_xlfn.IFNA(INDEX('RD3 XCO Sheps'!$I$2:$I$190,MATCH(Men_5[[#This Row],[Rider]],'RD3 XCO Sheps'!$F$2:$F$190,0)),"")</f>
        <v/>
      </c>
      <c r="E169" s="38" t="str">
        <f>_xlfn.IFNA(INDEX('RD4 Ohalloran'!$I$2:$I$180,MATCH(Men_5[[#This Row],[Rider]],'RD4 Ohalloran'!$F$2:$F$180,0)),"")</f>
        <v/>
      </c>
      <c r="F169" s="38" t="str">
        <f>_xlfn.IFNA(INDEX('RD5 Craigburn'!$I$2:$I$164,MATCH(Men_5[[#This Row],[Rider]],'RD5 Craigburn'!$F$2:$F$164,0)),"")</f>
        <v/>
      </c>
      <c r="G169" s="38" t="str">
        <f>_xlfn.IFNA(INDEX('RD6 Kinchina'!$I$2:$I$200,MATCH(Men_5[[#This Row],[Rider]],'RD6 Kinchina'!$F$2:$F$200,0)),"")</f>
        <v/>
      </c>
      <c r="H169" s="38" t="str">
        <f>_xlfn.IFNA(INDEX('RD7 O''Hallaron'!$I$2:$I$190,MATCH(Men_5[[#This Row],[Rider]],'RD7 O''Hallaron'!$F$2:$F$201,0)),"")</f>
        <v/>
      </c>
      <c r="I169" s="38" t="str">
        <f>_xlfn.IFNA(INDEX('RD8 Fox Creek'!$I$2:$I$204,MATCH(Men_5[[#This Row],[Rider]],'RD8 Fox Creek'!$F$2:$F$204,0)),"")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O''Halloran]])</f>
        <v>0</v>
      </c>
      <c r="N169" s="59">
        <f>2-COUNTBLANK(Men_5[[#This Row],[RD8 XCO Fox Creek]:[RD9 XCO Willowie]])</f>
        <v>0</v>
      </c>
      <c r="O169" s="59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Fox Creek]:[RD9 XCO Willowie]])</f>
        <v>0</v>
      </c>
      <c r="R169" s="59">
        <f>Men_5[[#This Row],[Best 6 of 8 Overall]]+Men_5[[#This Row],[Best 3 of 4 XCM]]+Men_5[[#This Row],[Total of 2 XCO]]</f>
        <v>0</v>
      </c>
      <c r="S169" s="134" cm="1">
        <f t="array" ref="S169">68-SUM(IF(O169&gt;$O$18:$O$212,1/COUNTIF($O$18:$O$212,$O$18:$O$212)))</f>
        <v>68</v>
      </c>
    </row>
    <row r="170" spans="1:19" ht="16" hidden="1" x14ac:dyDescent="0.2">
      <c r="A170" s="103"/>
      <c r="B170" s="38" t="str">
        <f>_xlfn.IFNA(INDEX('RD1 Eagle'!$I$2:$I$154,MATCH(Men_5[[#This Row],[Rider]],'RD1 Eagle'!$F$2:$F$154,0)),"")</f>
        <v/>
      </c>
      <c r="C170" s="38" t="str">
        <f>_xlfn.IFNA(INDEX('RD2 Shepherds'!$I$2:$I$143,MATCH(Men_5[[#This Row],[Rider]],'RD2 Shepherds'!$F$2:$F$143,0)),"")</f>
        <v/>
      </c>
      <c r="D170" s="38" t="str">
        <f>_xlfn.IFNA(INDEX('RD3 XCO Sheps'!$I$2:$I$190,MATCH(Men_5[[#This Row],[Rider]],'RD3 XCO Sheps'!$F$2:$F$190,0)),"")</f>
        <v/>
      </c>
      <c r="E170" s="38" t="str">
        <f>_xlfn.IFNA(INDEX('RD4 Ohalloran'!$I$2:$I$180,MATCH(Men_5[[#This Row],[Rider]],'RD4 Ohalloran'!$F$2:$F$180,0)),"")</f>
        <v/>
      </c>
      <c r="F170" s="38" t="str">
        <f>_xlfn.IFNA(INDEX('RD5 Craigburn'!$I$2:$I$164,MATCH(Men_5[[#This Row],[Rider]],'RD5 Craigburn'!$F$2:$F$164,0)),"")</f>
        <v/>
      </c>
      <c r="G170" s="38" t="str">
        <f>_xlfn.IFNA(INDEX('RD6 Kinchina'!$I$2:$I$200,MATCH(Men_5[[#This Row],[Rider]],'RD6 Kinchina'!$F$2:$F$200,0)),"")</f>
        <v/>
      </c>
      <c r="H170" s="38" t="str">
        <f>_xlfn.IFNA(INDEX('RD7 O''Hallaron'!$I$2:$I$190,MATCH(Men_5[[#This Row],[Rider]],'RD7 O''Hallaron'!$F$2:$F$201,0)),"")</f>
        <v/>
      </c>
      <c r="I170" s="38" t="str">
        <f>_xlfn.IFNA(INDEX('RD8 Fox Creek'!$I$2:$I$204,MATCH(Men_5[[#This Row],[Rider]],'RD8 Fox Creek'!$F$2:$F$204,0)),"")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O''Halloran]])</f>
        <v>0</v>
      </c>
      <c r="N170" s="60">
        <f>2-COUNTBLANK(Men_5[[#This Row],[RD8 XCO Fox Creek]:[RD9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Fox Creek]:[RD9 XCO Willowie]])</f>
        <v>0</v>
      </c>
      <c r="R170" s="59">
        <f>Men_5[[#This Row],[Best 6 of 8 Overall]]+Men_5[[#This Row],[Best 3 of 4 XCM]]+Men_5[[#This Row],[Total of 2 XCO]]</f>
        <v>0</v>
      </c>
      <c r="S170" s="134" cm="1">
        <f t="array" ref="S170">68-SUM(IF(O170&gt;$O$18:$O$212,1/COUNTIF($O$18:$O$212,$O$18:$O$212)))</f>
        <v>68</v>
      </c>
    </row>
    <row r="171" spans="1:19" ht="16" hidden="1" x14ac:dyDescent="0.2">
      <c r="A171" s="103"/>
      <c r="B171" s="38" t="str">
        <f>_xlfn.IFNA(INDEX('RD1 Eagle'!$I$2:$I$154,MATCH(Men_5[[#This Row],[Rider]],'RD1 Eagle'!$F$2:$F$154,0)),"")</f>
        <v/>
      </c>
      <c r="C171" s="38" t="str">
        <f>_xlfn.IFNA(INDEX('RD2 Shepherds'!$I$2:$I$143,MATCH(Men_5[[#This Row],[Rider]],'RD2 Shepherds'!$F$2:$F$143,0)),"")</f>
        <v/>
      </c>
      <c r="D171" s="38" t="str">
        <f>_xlfn.IFNA(INDEX('RD3 XCO Sheps'!$I$2:$I$190,MATCH(Men_5[[#This Row],[Rider]],'RD3 XCO Sheps'!$F$2:$F$190,0)),"")</f>
        <v/>
      </c>
      <c r="E171" s="38" t="str">
        <f>_xlfn.IFNA(INDEX('RD4 Ohalloran'!$I$2:$I$180,MATCH(Men_5[[#This Row],[Rider]],'RD4 Ohalloran'!$F$2:$F$180,0)),"")</f>
        <v/>
      </c>
      <c r="F171" s="38" t="str">
        <f>_xlfn.IFNA(INDEX('RD5 Craigburn'!$I$2:$I$164,MATCH(Men_5[[#This Row],[Rider]],'RD5 Craigburn'!$F$2:$F$164,0)),"")</f>
        <v/>
      </c>
      <c r="G171" s="38" t="str">
        <f>_xlfn.IFNA(INDEX('RD6 Kinchina'!$I$2:$I$200,MATCH(Men_5[[#This Row],[Rider]],'RD6 Kinchina'!$F$2:$F$200,0)),"")</f>
        <v/>
      </c>
      <c r="H171" s="38" t="str">
        <f>_xlfn.IFNA(INDEX('RD7 O''Hallaron'!$I$2:$I$190,MATCH(Men_5[[#This Row],[Rider]],'RD7 O''Hallaron'!$F$2:$F$201,0)),"")</f>
        <v/>
      </c>
      <c r="I171" s="38" t="str">
        <f>_xlfn.IFNA(INDEX('RD8 Fox Creek'!$I$2:$I$204,MATCH(Men_5[[#This Row],[Rider]],'RD8 Fox Creek'!$F$2:$F$204,0)),"")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O''Halloran]])</f>
        <v>0</v>
      </c>
      <c r="N171" s="60">
        <f>2-COUNTBLANK(Men_5[[#This Row],[RD8 XCO Fox Creek]:[RD9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Fox Creek]:[RD9 XCO Willowie]])</f>
        <v>0</v>
      </c>
      <c r="R171" s="59">
        <f>Men_5[[#This Row],[Best 6 of 8 Overall]]+Men_5[[#This Row],[Best 3 of 4 XCM]]+Men_5[[#This Row],[Total of 2 XCO]]</f>
        <v>0</v>
      </c>
      <c r="S171" s="134" cm="1">
        <f t="array" ref="S171">68-SUM(IF(O171&gt;$O$18:$O$212,1/COUNTIF($O$18:$O$212,$O$18:$O$212)))</f>
        <v>68</v>
      </c>
    </row>
    <row r="172" spans="1:19" ht="16" hidden="1" x14ac:dyDescent="0.2">
      <c r="A172" s="103"/>
      <c r="B172" s="38" t="str">
        <f>_xlfn.IFNA(INDEX('RD1 Eagle'!$I$2:$I$154,MATCH(Men_5[[#This Row],[Rider]],'RD1 Eagle'!$F$2:$F$154,0)),"")</f>
        <v/>
      </c>
      <c r="C172" s="38" t="str">
        <f>_xlfn.IFNA(INDEX('RD2 Shepherds'!$I$2:$I$143,MATCH(Men_5[[#This Row],[Rider]],'RD2 Shepherds'!$F$2:$F$143,0)),"")</f>
        <v/>
      </c>
      <c r="D172" s="38" t="str">
        <f>_xlfn.IFNA(INDEX('RD3 XCO Sheps'!$I$2:$I$190,MATCH(Men_5[[#This Row],[Rider]],'RD3 XCO Sheps'!$F$2:$F$190,0)),"")</f>
        <v/>
      </c>
      <c r="E172" s="38" t="str">
        <f>_xlfn.IFNA(INDEX('RD4 Ohalloran'!$I$2:$I$180,MATCH(Men_5[[#This Row],[Rider]],'RD4 Ohalloran'!$F$2:$F$180,0)),"")</f>
        <v/>
      </c>
      <c r="F172" s="38" t="str">
        <f>_xlfn.IFNA(INDEX('RD5 Craigburn'!$I$2:$I$164,MATCH(Men_5[[#This Row],[Rider]],'RD5 Craigburn'!$F$2:$F$164,0)),"")</f>
        <v/>
      </c>
      <c r="G172" s="38" t="str">
        <f>_xlfn.IFNA(INDEX('RD6 Kinchina'!$I$2:$I$200,MATCH(Men_5[[#This Row],[Rider]],'RD6 Kinchina'!$F$2:$F$200,0)),"")</f>
        <v/>
      </c>
      <c r="H172" s="38" t="str">
        <f>_xlfn.IFNA(INDEX('RD7 O''Hallaron'!$I$2:$I$190,MATCH(Men_5[[#This Row],[Rider]],'RD7 O''Hallaron'!$F$2:$F$201,0)),"")</f>
        <v/>
      </c>
      <c r="I172" s="38" t="str">
        <f>_xlfn.IFNA(INDEX('RD8 Fox Creek'!$I$2:$I$204,MATCH(Men_5[[#This Row],[Rider]],'RD8 Fox Creek'!$F$2:$F$204,0)),"")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O''Halloran]])</f>
        <v>0</v>
      </c>
      <c r="N172" s="60">
        <f>2-COUNTBLANK(Men_5[[#This Row],[RD8 XCO Fox Creek]:[RD9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Fox Creek]:[RD9 XCO Willowie]])</f>
        <v>0</v>
      </c>
      <c r="R172" s="59">
        <f>Men_5[[#This Row],[Best 6 of 8 Overall]]+Men_5[[#This Row],[Best 3 of 4 XCM]]+Men_5[[#This Row],[Total of 2 XCO]]</f>
        <v>0</v>
      </c>
      <c r="S172" s="134" cm="1">
        <f t="array" ref="S172">68-SUM(IF(O172&gt;$O$18:$O$212,1/COUNTIF($O$18:$O$212,$O$18:$O$212)))</f>
        <v>68</v>
      </c>
    </row>
    <row r="173" spans="1:19" ht="16" hidden="1" x14ac:dyDescent="0.2">
      <c r="A173" s="103"/>
      <c r="B173" s="38" t="str">
        <f>_xlfn.IFNA(INDEX('RD1 Eagle'!$I$2:$I$154,MATCH(Men_5[[#This Row],[Rider]],'RD1 Eagle'!$F$2:$F$154,0)),"")</f>
        <v/>
      </c>
      <c r="C173" s="38" t="str">
        <f>_xlfn.IFNA(INDEX('RD2 Shepherds'!$I$2:$I$143,MATCH(Men_5[[#This Row],[Rider]],'RD2 Shepherds'!$F$2:$F$143,0)),"")</f>
        <v/>
      </c>
      <c r="D173" s="38" t="str">
        <f>_xlfn.IFNA(INDEX('RD3 XCO Sheps'!$I$2:$I$190,MATCH(Men_5[[#This Row],[Rider]],'RD3 XCO Sheps'!$F$2:$F$190,0)),"")</f>
        <v/>
      </c>
      <c r="E173" s="38" t="str">
        <f>_xlfn.IFNA(INDEX('RD4 Ohalloran'!$I$2:$I$180,MATCH(Men_5[[#This Row],[Rider]],'RD4 Ohalloran'!$F$2:$F$180,0)),"")</f>
        <v/>
      </c>
      <c r="F173" s="38" t="str">
        <f>_xlfn.IFNA(INDEX('RD5 Craigburn'!$I$2:$I$164,MATCH(Men_5[[#This Row],[Rider]],'RD5 Craigburn'!$F$2:$F$164,0)),"")</f>
        <v/>
      </c>
      <c r="G173" s="38" t="str">
        <f>_xlfn.IFNA(INDEX('RD6 Kinchina'!$I$2:$I$200,MATCH(Men_5[[#This Row],[Rider]],'RD6 Kinchina'!$F$2:$F$200,0)),"")</f>
        <v/>
      </c>
      <c r="H173" s="38" t="str">
        <f>_xlfn.IFNA(INDEX('RD7 O''Hallaron'!$I$2:$I$190,MATCH(Men_5[[#This Row],[Rider]],'RD7 O''Hallaron'!$F$2:$F$201,0)),"")</f>
        <v/>
      </c>
      <c r="I173" s="38" t="str">
        <f>_xlfn.IFNA(INDEX('RD8 Fox Creek'!$I$2:$I$204,MATCH(Men_5[[#This Row],[Rider]],'RD8 Fox Creek'!$F$2:$F$204,0)),"")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O''Halloran]])</f>
        <v>0</v>
      </c>
      <c r="N173" s="60">
        <f>2-COUNTBLANK(Men_5[[#This Row],[RD8 XCO Fox Creek]:[RD9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Fox Creek]:[RD9 XCO Willowie]])</f>
        <v>0</v>
      </c>
      <c r="R173" s="59">
        <f>Men_5[[#This Row],[Best 6 of 8 Overall]]+Men_5[[#This Row],[Best 3 of 4 XCM]]+Men_5[[#This Row],[Total of 2 XCO]]</f>
        <v>0</v>
      </c>
      <c r="S173" s="134" cm="1">
        <f t="array" ref="S173">68-SUM(IF(O173&gt;$O$18:$O$212,1/COUNTIF($O$18:$O$212,$O$18:$O$212)))</f>
        <v>68</v>
      </c>
    </row>
    <row r="174" spans="1:19" ht="16" hidden="1" x14ac:dyDescent="0.2">
      <c r="A174" s="103"/>
      <c r="B174" s="38" t="str">
        <f>_xlfn.IFNA(INDEX('RD1 Eagle'!$I$2:$I$154,MATCH(Men_5[[#This Row],[Rider]],'RD1 Eagle'!$F$2:$F$154,0)),"")</f>
        <v/>
      </c>
      <c r="C174" s="38" t="str">
        <f>_xlfn.IFNA(INDEX('RD2 Shepherds'!$I$2:$I$143,MATCH(Men_5[[#This Row],[Rider]],'RD2 Shepherds'!$F$2:$F$143,0)),"")</f>
        <v/>
      </c>
      <c r="D174" s="38" t="str">
        <f>_xlfn.IFNA(INDEX('RD3 XCO Sheps'!$I$2:$I$190,MATCH(Men_5[[#This Row],[Rider]],'RD3 XCO Sheps'!$F$2:$F$190,0)),"")</f>
        <v/>
      </c>
      <c r="E174" s="38" t="str">
        <f>_xlfn.IFNA(INDEX('RD4 Ohalloran'!$I$2:$I$180,MATCH(Men_5[[#This Row],[Rider]],'RD4 Ohalloran'!$F$2:$F$180,0)),"")</f>
        <v/>
      </c>
      <c r="F174" s="38" t="str">
        <f>_xlfn.IFNA(INDEX('RD5 Craigburn'!$I$2:$I$164,MATCH(Men_5[[#This Row],[Rider]],'RD5 Craigburn'!$F$2:$F$164,0)),"")</f>
        <v/>
      </c>
      <c r="G174" s="38" t="str">
        <f>_xlfn.IFNA(INDEX('RD6 Kinchina'!$I$2:$I$200,MATCH(Men_5[[#This Row],[Rider]],'RD6 Kinchina'!$F$2:$F$200,0)),"")</f>
        <v/>
      </c>
      <c r="H174" s="38" t="str">
        <f>_xlfn.IFNA(INDEX('RD7 O''Hallaron'!$I$2:$I$190,MATCH(Men_5[[#This Row],[Rider]],'RD7 O''Hallaron'!$F$2:$F$201,0)),"")</f>
        <v/>
      </c>
      <c r="I174" s="38" t="str">
        <f>_xlfn.IFNA(INDEX('RD8 Fox Creek'!$I$2:$I$204,MATCH(Men_5[[#This Row],[Rider]],'RD8 Fox Creek'!$F$2:$F$204,0)),"")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O''Halloran]])</f>
        <v>0</v>
      </c>
      <c r="N174" s="60">
        <f>2-COUNTBLANK(Men_5[[#This Row],[RD8 XCO Fox Creek]:[RD9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Fox Creek]:[RD9 XCO Willowie]])</f>
        <v>0</v>
      </c>
      <c r="R174" s="59">
        <f>Men_5[[#This Row],[Best 6 of 8 Overall]]+Men_5[[#This Row],[Best 3 of 4 XCM]]+Men_5[[#This Row],[Total of 2 XCO]]</f>
        <v>0</v>
      </c>
      <c r="S174" s="134" cm="1">
        <f t="array" ref="S174">68-SUM(IF(O174&gt;$O$18:$O$212,1/COUNTIF($O$18:$O$212,$O$18:$O$212)))</f>
        <v>68</v>
      </c>
    </row>
    <row r="175" spans="1:19" ht="16" hidden="1" x14ac:dyDescent="0.2">
      <c r="A175" s="103"/>
      <c r="B175" s="38" t="str">
        <f>_xlfn.IFNA(INDEX('RD1 Eagle'!$I$2:$I$154,MATCH(Men_5[[#This Row],[Rider]],'RD1 Eagle'!$F$2:$F$154,0)),"")</f>
        <v/>
      </c>
      <c r="C175" s="38" t="str">
        <f>_xlfn.IFNA(INDEX('RD2 Shepherds'!$I$2:$I$143,MATCH(Men_5[[#This Row],[Rider]],'RD2 Shepherds'!$F$2:$F$143,0)),"")</f>
        <v/>
      </c>
      <c r="D175" s="38" t="str">
        <f>_xlfn.IFNA(INDEX('RD3 XCO Sheps'!$I$2:$I$190,MATCH(Men_5[[#This Row],[Rider]],'RD3 XCO Sheps'!$F$2:$F$190,0)),"")</f>
        <v/>
      </c>
      <c r="E175" s="38" t="str">
        <f>_xlfn.IFNA(INDEX('RD4 Ohalloran'!$I$2:$I$180,MATCH(Men_5[[#This Row],[Rider]],'RD4 Ohalloran'!$F$2:$F$180,0)),"")</f>
        <v/>
      </c>
      <c r="F175" s="38" t="str">
        <f>_xlfn.IFNA(INDEX('RD5 Craigburn'!$I$2:$I$164,MATCH(Men_5[[#This Row],[Rider]],'RD5 Craigburn'!$F$2:$F$164,0)),"")</f>
        <v/>
      </c>
      <c r="G175" s="38" t="str">
        <f>_xlfn.IFNA(INDEX('RD6 Kinchina'!$I$2:$I$200,MATCH(Men_5[[#This Row],[Rider]],'RD6 Kinchina'!$F$2:$F$200,0)),"")</f>
        <v/>
      </c>
      <c r="H175" s="38" t="str">
        <f>_xlfn.IFNA(INDEX('RD7 O''Hallaron'!$I$2:$I$190,MATCH(Men_5[[#This Row],[Rider]],'RD7 O''Hallaron'!$F$2:$F$201,0)),"")</f>
        <v/>
      </c>
      <c r="I175" s="38" t="str">
        <f>_xlfn.IFNA(INDEX('RD8 Fox Creek'!$I$2:$I$204,MATCH(Men_5[[#This Row],[Rider]],'RD8 Fox Creek'!$F$2:$F$204,0)),"")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O''Halloran]])</f>
        <v>0</v>
      </c>
      <c r="N175" s="60">
        <f>2-COUNTBLANK(Men_5[[#This Row],[RD8 XCO Fox Creek]:[RD9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Fox Creek]:[RD9 XCO Willowie]])</f>
        <v>0</v>
      </c>
      <c r="R175" s="59">
        <f>Men_5[[#This Row],[Best 6 of 8 Overall]]+Men_5[[#This Row],[Best 3 of 4 XCM]]+Men_5[[#This Row],[Total of 2 XCO]]</f>
        <v>0</v>
      </c>
      <c r="S175" s="134" cm="1">
        <f t="array" ref="S175">68-SUM(IF(O175&gt;$O$18:$O$212,1/COUNTIF($O$18:$O$212,$O$18:$O$212)))</f>
        <v>68</v>
      </c>
    </row>
    <row r="176" spans="1:19" ht="16" hidden="1" x14ac:dyDescent="0.2">
      <c r="A176" s="103"/>
      <c r="B176" s="38" t="str">
        <f>_xlfn.IFNA(INDEX('RD1 Eagle'!$I$2:$I$154,MATCH(Men_5[[#This Row],[Rider]],'RD1 Eagle'!$F$2:$F$154,0)),"")</f>
        <v/>
      </c>
      <c r="C176" s="38" t="str">
        <f>_xlfn.IFNA(INDEX('RD2 Shepherds'!$I$2:$I$143,MATCH(Men_5[[#This Row],[Rider]],'RD2 Shepherds'!$F$2:$F$143,0)),"")</f>
        <v/>
      </c>
      <c r="D176" s="38" t="str">
        <f>_xlfn.IFNA(INDEX('RD3 XCO Sheps'!$I$2:$I$190,MATCH(Men_5[[#This Row],[Rider]],'RD3 XCO Sheps'!$F$2:$F$190,0)),"")</f>
        <v/>
      </c>
      <c r="E176" s="38" t="str">
        <f>_xlfn.IFNA(INDEX('RD4 Ohalloran'!$I$2:$I$180,MATCH(Men_5[[#This Row],[Rider]],'RD4 Ohalloran'!$F$2:$F$180,0)),"")</f>
        <v/>
      </c>
      <c r="F176" s="38" t="str">
        <f>_xlfn.IFNA(INDEX('RD5 Craigburn'!$I$2:$I$164,MATCH(Men_5[[#This Row],[Rider]],'RD5 Craigburn'!$F$2:$F$164,0)),"")</f>
        <v/>
      </c>
      <c r="G176" s="38" t="str">
        <f>_xlfn.IFNA(INDEX('RD6 Kinchina'!$I$2:$I$200,MATCH(Men_5[[#This Row],[Rider]],'RD6 Kinchina'!$F$2:$F$200,0)),"")</f>
        <v/>
      </c>
      <c r="H176" s="38" t="str">
        <f>_xlfn.IFNA(INDEX('RD7 O''Hallaron'!$I$2:$I$190,MATCH(Men_5[[#This Row],[Rider]],'RD7 O''Hallaron'!$F$2:$F$201,0)),"")</f>
        <v/>
      </c>
      <c r="I176" s="38" t="str">
        <f>_xlfn.IFNA(INDEX('RD8 Fox Creek'!$I$2:$I$204,MATCH(Men_5[[#This Row],[Rider]],'RD8 Fox Creek'!$F$2:$F$204,0)),"")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O''Halloran]])</f>
        <v>0</v>
      </c>
      <c r="N176" s="60">
        <f>2-COUNTBLANK(Men_5[[#This Row],[RD8 XCO Fox Creek]:[RD9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Fox Creek]:[RD9 XCO Willowie]])</f>
        <v>0</v>
      </c>
      <c r="R176" s="59">
        <f>Men_5[[#This Row],[Best 6 of 8 Overall]]+Men_5[[#This Row],[Best 3 of 4 XCM]]+Men_5[[#This Row],[Total of 2 XCO]]</f>
        <v>0</v>
      </c>
      <c r="S176" s="134" cm="1">
        <f t="array" ref="S176">68-SUM(IF(O176&gt;$O$18:$O$212,1/COUNTIF($O$18:$O$212,$O$18:$O$212)))</f>
        <v>68</v>
      </c>
    </row>
    <row r="177" spans="1:19" ht="16" hidden="1" x14ac:dyDescent="0.2">
      <c r="A177" s="103"/>
      <c r="B177" s="38" t="str">
        <f>_xlfn.IFNA(INDEX('RD1 Eagle'!$I$2:$I$154,MATCH(Men_5[[#This Row],[Rider]],'RD1 Eagle'!$F$2:$F$154,0)),"")</f>
        <v/>
      </c>
      <c r="C177" s="38" t="str">
        <f>_xlfn.IFNA(INDEX('RD2 Shepherds'!$I$2:$I$143,MATCH(Men_5[[#This Row],[Rider]],'RD2 Shepherds'!$F$2:$F$143,0)),"")</f>
        <v/>
      </c>
      <c r="D177" s="38" t="str">
        <f>_xlfn.IFNA(INDEX('RD3 XCO Sheps'!$I$2:$I$190,MATCH(Men_5[[#This Row],[Rider]],'RD3 XCO Sheps'!$F$2:$F$190,0)),"")</f>
        <v/>
      </c>
      <c r="E177" s="38" t="str">
        <f>_xlfn.IFNA(INDEX('RD4 Ohalloran'!$I$2:$I$180,MATCH(Men_5[[#This Row],[Rider]],'RD4 Ohalloran'!$F$2:$F$180,0)),"")</f>
        <v/>
      </c>
      <c r="F177" s="38" t="str">
        <f>_xlfn.IFNA(INDEX('RD5 Craigburn'!$I$2:$I$164,MATCH(Men_5[[#This Row],[Rider]],'RD5 Craigburn'!$F$2:$F$164,0)),"")</f>
        <v/>
      </c>
      <c r="G177" s="38" t="str">
        <f>_xlfn.IFNA(INDEX('RD6 Kinchina'!$I$2:$I$200,MATCH(Men_5[[#This Row],[Rider]],'RD6 Kinchina'!$F$2:$F$200,0)),"")</f>
        <v/>
      </c>
      <c r="H177" s="38" t="str">
        <f>_xlfn.IFNA(INDEX('RD7 O''Hallaron'!$I$2:$I$190,MATCH(Men_5[[#This Row],[Rider]],'RD7 O''Hallaron'!$F$2:$F$201,0)),"")</f>
        <v/>
      </c>
      <c r="I177" s="38" t="str">
        <f>_xlfn.IFNA(INDEX('RD8 Fox Creek'!$I$2:$I$204,MATCH(Men_5[[#This Row],[Rider]],'RD8 Fox Creek'!$F$2:$F$204,0)),"")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O''Halloran]])</f>
        <v>0</v>
      </c>
      <c r="N177" s="60">
        <f>2-COUNTBLANK(Men_5[[#This Row],[RD8 XCO Fox Creek]:[RD9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Fox Creek]:[RD9 XCO Willowie]])</f>
        <v>0</v>
      </c>
      <c r="R177" s="59">
        <f>Men_5[[#This Row],[Best 6 of 8 Overall]]+Men_5[[#This Row],[Best 3 of 4 XCM]]+Men_5[[#This Row],[Total of 2 XCO]]</f>
        <v>0</v>
      </c>
      <c r="S177" s="134" cm="1">
        <f t="array" ref="S177">68-SUM(IF(O177&gt;$O$18:$O$212,1/COUNTIF($O$18:$O$212,$O$18:$O$212)))</f>
        <v>68</v>
      </c>
    </row>
    <row r="178" spans="1:19" ht="16" hidden="1" x14ac:dyDescent="0.2">
      <c r="A178" s="103"/>
      <c r="B178" s="38" t="str">
        <f>_xlfn.IFNA(INDEX('RD1 Eagle'!$I$2:$I$154,MATCH(Men_5[[#This Row],[Rider]],'RD1 Eagle'!$F$2:$F$154,0)),"")</f>
        <v/>
      </c>
      <c r="C178" s="38" t="str">
        <f>_xlfn.IFNA(INDEX('RD2 Shepherds'!$I$2:$I$143,MATCH(Men_5[[#This Row],[Rider]],'RD2 Shepherds'!$F$2:$F$143,0)),"")</f>
        <v/>
      </c>
      <c r="D178" s="38" t="str">
        <f>_xlfn.IFNA(INDEX('RD3 XCO Sheps'!$I$2:$I$190,MATCH(Men_5[[#This Row],[Rider]],'RD3 XCO Sheps'!$F$2:$F$190,0)),"")</f>
        <v/>
      </c>
      <c r="E178" s="38" t="str">
        <f>_xlfn.IFNA(INDEX('RD4 Ohalloran'!$I$2:$I$180,MATCH(Men_5[[#This Row],[Rider]],'RD4 Ohalloran'!$F$2:$F$180,0)),"")</f>
        <v/>
      </c>
      <c r="F178" s="38" t="str">
        <f>_xlfn.IFNA(INDEX('RD5 Craigburn'!$I$2:$I$164,MATCH(Men_5[[#This Row],[Rider]],'RD5 Craigburn'!$F$2:$F$164,0)),"")</f>
        <v/>
      </c>
      <c r="G178" s="38" t="str">
        <f>_xlfn.IFNA(INDEX('RD6 Kinchina'!$I$2:$I$200,MATCH(Men_5[[#This Row],[Rider]],'RD6 Kinchina'!$F$2:$F$200,0)),"")</f>
        <v/>
      </c>
      <c r="H178" s="38" t="str">
        <f>_xlfn.IFNA(INDEX('RD7 O''Hallaron'!$I$2:$I$190,MATCH(Men_5[[#This Row],[Rider]],'RD7 O''Hallaron'!$F$2:$F$201,0)),"")</f>
        <v/>
      </c>
      <c r="I178" s="38" t="str">
        <f>_xlfn.IFNA(INDEX('RD8 Fox Creek'!$I$2:$I$204,MATCH(Men_5[[#This Row],[Rider]],'RD8 Fox Creek'!$F$2:$F$204,0)),"")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O''Halloran]])</f>
        <v>0</v>
      </c>
      <c r="N178" s="60">
        <f>2-COUNTBLANK(Men_5[[#This Row],[RD8 XCO Fox Creek]:[RD9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Fox Creek]:[RD9 XCO Willowie]])</f>
        <v>0</v>
      </c>
      <c r="R178" s="59">
        <f>Men_5[[#This Row],[Best 6 of 8 Overall]]+Men_5[[#This Row],[Best 3 of 4 XCM]]+Men_5[[#This Row],[Total of 2 XCO]]</f>
        <v>0</v>
      </c>
      <c r="S178" s="134" cm="1">
        <f t="array" ref="S178">68-SUM(IF(O178&gt;$O$18:$O$212,1/COUNTIF($O$18:$O$212,$O$18:$O$212)))</f>
        <v>68</v>
      </c>
    </row>
    <row r="179" spans="1:19" ht="16" hidden="1" x14ac:dyDescent="0.2">
      <c r="A179" s="103"/>
      <c r="B179" s="38" t="str">
        <f>_xlfn.IFNA(INDEX('RD1 Eagle'!$I$2:$I$154,MATCH(Men_5[[#This Row],[Rider]],'RD1 Eagle'!$F$2:$F$154,0)),"")</f>
        <v/>
      </c>
      <c r="C179" s="38" t="str">
        <f>_xlfn.IFNA(INDEX('RD2 Shepherds'!$I$2:$I$143,MATCH(Men_5[[#This Row],[Rider]],'RD2 Shepherds'!$F$2:$F$143,0)),"")</f>
        <v/>
      </c>
      <c r="D179" s="38" t="str">
        <f>_xlfn.IFNA(INDEX('RD3 XCO Sheps'!$I$2:$I$190,MATCH(Men_5[[#This Row],[Rider]],'RD3 XCO Sheps'!$F$2:$F$190,0)),"")</f>
        <v/>
      </c>
      <c r="E179" s="38" t="str">
        <f>_xlfn.IFNA(INDEX('RD4 Ohalloran'!$I$2:$I$180,MATCH(Men_5[[#This Row],[Rider]],'RD4 Ohalloran'!$F$2:$F$180,0)),"")</f>
        <v/>
      </c>
      <c r="F179" s="38" t="str">
        <f>_xlfn.IFNA(INDEX('RD5 Craigburn'!$I$2:$I$164,MATCH(Men_5[[#This Row],[Rider]],'RD5 Craigburn'!$F$2:$F$164,0)),"")</f>
        <v/>
      </c>
      <c r="G179" s="38" t="str">
        <f>_xlfn.IFNA(INDEX('RD6 Kinchina'!$I$2:$I$200,MATCH(Men_5[[#This Row],[Rider]],'RD6 Kinchina'!$F$2:$F$200,0)),"")</f>
        <v/>
      </c>
      <c r="H179" s="38" t="str">
        <f>_xlfn.IFNA(INDEX('RD7 O''Hallaron'!$I$2:$I$190,MATCH(Men_5[[#This Row],[Rider]],'RD7 O''Hallaron'!$F$2:$F$201,0)),"")</f>
        <v/>
      </c>
      <c r="I179" s="38" t="str">
        <f>_xlfn.IFNA(INDEX('RD8 Fox Creek'!$I$2:$I$204,MATCH(Men_5[[#This Row],[Rider]],'RD8 Fox Creek'!$F$2:$F$204,0)),"")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O''Halloran]])</f>
        <v>0</v>
      </c>
      <c r="N179" s="60">
        <f>2-COUNTBLANK(Men_5[[#This Row],[RD8 XCO Fox Creek]:[RD9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Fox Creek]:[RD9 XCO Willowie]])</f>
        <v>0</v>
      </c>
      <c r="R179" s="59">
        <f>Men_5[[#This Row],[Best 6 of 8 Overall]]+Men_5[[#This Row],[Best 3 of 4 XCM]]+Men_5[[#This Row],[Total of 2 XCO]]</f>
        <v>0</v>
      </c>
      <c r="S179" s="134" cm="1">
        <f t="array" ref="S179">68-SUM(IF(O179&gt;$O$18:$O$212,1/COUNTIF($O$18:$O$212,$O$18:$O$212)))</f>
        <v>68</v>
      </c>
    </row>
    <row r="180" spans="1:19" ht="16" hidden="1" x14ac:dyDescent="0.2">
      <c r="A180" s="103"/>
      <c r="B180" s="38" t="str">
        <f>_xlfn.IFNA(INDEX('RD1 Eagle'!$I$2:$I$154,MATCH(Men_5[[#This Row],[Rider]],'RD1 Eagle'!$F$2:$F$154,0)),"")</f>
        <v/>
      </c>
      <c r="C180" s="38" t="str">
        <f>_xlfn.IFNA(INDEX('RD2 Shepherds'!$I$2:$I$143,MATCH(Men_5[[#This Row],[Rider]],'RD2 Shepherds'!$F$2:$F$143,0)),"")</f>
        <v/>
      </c>
      <c r="D180" s="38" t="str">
        <f>_xlfn.IFNA(INDEX('RD3 XCO Sheps'!$I$2:$I$190,MATCH(Men_5[[#This Row],[Rider]],'RD3 XCO Sheps'!$F$2:$F$190,0)),"")</f>
        <v/>
      </c>
      <c r="E180" s="38" t="str">
        <f>_xlfn.IFNA(INDEX('RD4 Ohalloran'!$I$2:$I$180,MATCH(Men_5[[#This Row],[Rider]],'RD4 Ohalloran'!$F$2:$F$180,0)),"")</f>
        <v/>
      </c>
      <c r="F180" s="38" t="str">
        <f>_xlfn.IFNA(INDEX('RD5 Craigburn'!$I$2:$I$164,MATCH(Men_5[[#This Row],[Rider]],'RD5 Craigburn'!$F$2:$F$164,0)),"")</f>
        <v/>
      </c>
      <c r="G180" s="38" t="str">
        <f>_xlfn.IFNA(INDEX('RD6 Kinchina'!$I$2:$I$200,MATCH(Men_5[[#This Row],[Rider]],'RD6 Kinchina'!$F$2:$F$200,0)),"")</f>
        <v/>
      </c>
      <c r="H180" s="38" t="str">
        <f>_xlfn.IFNA(INDEX('RD7 O''Hallaron'!$I$2:$I$190,MATCH(Men_5[[#This Row],[Rider]],'RD7 O''Hallaron'!$F$2:$F$201,0)),"")</f>
        <v/>
      </c>
      <c r="I180" s="38" t="str">
        <f>_xlfn.IFNA(INDEX('RD8 Fox Creek'!$I$2:$I$204,MATCH(Men_5[[#This Row],[Rider]],'RD8 Fox Creek'!$F$2:$F$204,0)),"")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O''Halloran]])</f>
        <v>0</v>
      </c>
      <c r="N180" s="60">
        <f>2-COUNTBLANK(Men_5[[#This Row],[RD8 XCO Fox Creek]:[RD9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Fox Creek]:[RD9 XCO Willowie]])</f>
        <v>0</v>
      </c>
      <c r="R180" s="59">
        <f>Men_5[[#This Row],[Best 6 of 8 Overall]]+Men_5[[#This Row],[Best 3 of 4 XCM]]+Men_5[[#This Row],[Total of 2 XCO]]</f>
        <v>0</v>
      </c>
      <c r="S180" s="134" cm="1">
        <f t="array" ref="S180">68-SUM(IF(O180&gt;$O$18:$O$212,1/COUNTIF($O$18:$O$212,$O$18:$O$212)))</f>
        <v>68</v>
      </c>
    </row>
    <row r="181" spans="1:19" ht="16" hidden="1" x14ac:dyDescent="0.2">
      <c r="A181" s="103"/>
      <c r="B181" s="38" t="str">
        <f>_xlfn.IFNA(INDEX('RD1 Eagle'!$I$2:$I$154,MATCH(Men_5[[#This Row],[Rider]],'RD1 Eagle'!$F$2:$F$154,0)),"")</f>
        <v/>
      </c>
      <c r="C181" s="38" t="str">
        <f>_xlfn.IFNA(INDEX('RD2 Shepherds'!$I$2:$I$143,MATCH(Men_5[[#This Row],[Rider]],'RD2 Shepherds'!$F$2:$F$143,0)),"")</f>
        <v/>
      </c>
      <c r="D181" s="38" t="str">
        <f>_xlfn.IFNA(INDEX('RD3 XCO Sheps'!$I$2:$I$190,MATCH(Men_5[[#This Row],[Rider]],'RD3 XCO Sheps'!$F$2:$F$190,0)),"")</f>
        <v/>
      </c>
      <c r="E181" s="38" t="str">
        <f>_xlfn.IFNA(INDEX('RD4 Ohalloran'!$I$2:$I$180,MATCH(Men_5[[#This Row],[Rider]],'RD4 Ohalloran'!$F$2:$F$180,0)),"")</f>
        <v/>
      </c>
      <c r="F181" s="38" t="str">
        <f>_xlfn.IFNA(INDEX('RD5 Craigburn'!$I$2:$I$164,MATCH(Men_5[[#This Row],[Rider]],'RD5 Craigburn'!$F$2:$F$164,0)),"")</f>
        <v/>
      </c>
      <c r="G181" s="38" t="str">
        <f>_xlfn.IFNA(INDEX('RD6 Kinchina'!$I$2:$I$200,MATCH(Men_5[[#This Row],[Rider]],'RD6 Kinchina'!$F$2:$F$200,0)),"")</f>
        <v/>
      </c>
      <c r="H181" s="38" t="str">
        <f>_xlfn.IFNA(INDEX('RD7 O''Hallaron'!$I$2:$I$190,MATCH(Men_5[[#This Row],[Rider]],'RD7 O''Hallaron'!$F$2:$F$201,0)),"")</f>
        <v/>
      </c>
      <c r="I181" s="38" t="str">
        <f>_xlfn.IFNA(INDEX('RD8 Fox Creek'!$I$2:$I$204,MATCH(Men_5[[#This Row],[Rider]],'RD8 Fox Creek'!$F$2:$F$204,0)),"")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O''Halloran]])</f>
        <v>0</v>
      </c>
      <c r="N181" s="60">
        <f>2-COUNTBLANK(Men_5[[#This Row],[RD8 XCO Fox Creek]:[RD9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Fox Creek]:[RD9 XCO Willowie]])</f>
        <v>0</v>
      </c>
      <c r="R181" s="59">
        <f>Men_5[[#This Row],[Best 6 of 8 Overall]]+Men_5[[#This Row],[Best 3 of 4 XCM]]+Men_5[[#This Row],[Total of 2 XCO]]</f>
        <v>0</v>
      </c>
      <c r="S181" s="134" cm="1">
        <f t="array" ref="S181">68-SUM(IF(O181&gt;$O$18:$O$212,1/COUNTIF($O$18:$O$212,$O$18:$O$212)))</f>
        <v>68</v>
      </c>
    </row>
    <row r="182" spans="1:19" ht="16" hidden="1" x14ac:dyDescent="0.2">
      <c r="A182" s="103"/>
      <c r="B182" s="38" t="str">
        <f>_xlfn.IFNA(INDEX('RD1 Eagle'!$I$2:$I$154,MATCH(Men_5[[#This Row],[Rider]],'RD1 Eagle'!$F$2:$F$154,0)),"")</f>
        <v/>
      </c>
      <c r="C182" s="38" t="str">
        <f>_xlfn.IFNA(INDEX('RD2 Shepherds'!$I$2:$I$143,MATCH(Men_5[[#This Row],[Rider]],'RD2 Shepherds'!$F$2:$F$143,0)),"")</f>
        <v/>
      </c>
      <c r="D182" s="38" t="str">
        <f>_xlfn.IFNA(INDEX('RD3 XCO Sheps'!$I$2:$I$190,MATCH(Men_5[[#This Row],[Rider]],'RD3 XCO Sheps'!$F$2:$F$190,0)),"")</f>
        <v/>
      </c>
      <c r="E182" s="38" t="str">
        <f>_xlfn.IFNA(INDEX('RD4 Ohalloran'!$I$2:$I$180,MATCH(Men_5[[#This Row],[Rider]],'RD4 Ohalloran'!$F$2:$F$180,0)),"")</f>
        <v/>
      </c>
      <c r="F182" s="38" t="str">
        <f>_xlfn.IFNA(INDEX('RD5 Craigburn'!$I$2:$I$164,MATCH(Men_5[[#This Row],[Rider]],'RD5 Craigburn'!$F$2:$F$164,0)),"")</f>
        <v/>
      </c>
      <c r="G182" s="38" t="str">
        <f>_xlfn.IFNA(INDEX('RD6 Kinchina'!$I$2:$I$200,MATCH(Men_5[[#This Row],[Rider]],'RD6 Kinchina'!$F$2:$F$200,0)),"")</f>
        <v/>
      </c>
      <c r="H182" s="38" t="str">
        <f>_xlfn.IFNA(INDEX('RD7 O''Hallaron'!$I$2:$I$190,MATCH(Men_5[[#This Row],[Rider]],'RD7 O''Hallaron'!$F$2:$F$201,0)),"")</f>
        <v/>
      </c>
      <c r="I182" s="38" t="str">
        <f>_xlfn.IFNA(INDEX('RD8 Fox Creek'!$I$2:$I$204,MATCH(Men_5[[#This Row],[Rider]],'RD8 Fox Creek'!$F$2:$F$204,0)),"")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O''Halloran]])</f>
        <v>0</v>
      </c>
      <c r="N182" s="60">
        <f>2-COUNTBLANK(Men_5[[#This Row],[RD8 XCO Fox Creek]:[RD9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Fox Creek]:[RD9 XCO Willowie]])</f>
        <v>0</v>
      </c>
      <c r="R182" s="59">
        <f>Men_5[[#This Row],[Best 6 of 8 Overall]]+Men_5[[#This Row],[Best 3 of 4 XCM]]+Men_5[[#This Row],[Total of 2 XCO]]</f>
        <v>0</v>
      </c>
      <c r="S182" s="134" cm="1">
        <f t="array" ref="S182">68-SUM(IF(O182&gt;$O$18:$O$212,1/COUNTIF($O$18:$O$212,$O$18:$O$212)))</f>
        <v>68</v>
      </c>
    </row>
    <row r="183" spans="1:19" ht="16" hidden="1" x14ac:dyDescent="0.2">
      <c r="A183" s="103"/>
      <c r="B183" s="38" t="str">
        <f>_xlfn.IFNA(INDEX('RD1 Eagle'!$I$2:$I$154,MATCH(Men_5[[#This Row],[Rider]],'RD1 Eagle'!$F$2:$F$154,0)),"")</f>
        <v/>
      </c>
      <c r="C183" s="38" t="str">
        <f>_xlfn.IFNA(INDEX('RD2 Shepherds'!$I$2:$I$143,MATCH(Men_5[[#This Row],[Rider]],'RD2 Shepherds'!$F$2:$F$143,0)),"")</f>
        <v/>
      </c>
      <c r="D183" s="38" t="str">
        <f>_xlfn.IFNA(INDEX('RD3 XCO Sheps'!$I$2:$I$190,MATCH(Men_5[[#This Row],[Rider]],'RD3 XCO Sheps'!$F$2:$F$190,0)),"")</f>
        <v/>
      </c>
      <c r="E183" s="38" t="str">
        <f>_xlfn.IFNA(INDEX('RD4 Ohalloran'!$I$2:$I$180,MATCH(Men_5[[#This Row],[Rider]],'RD4 Ohalloran'!$F$2:$F$180,0)),"")</f>
        <v/>
      </c>
      <c r="F183" s="38" t="str">
        <f>_xlfn.IFNA(INDEX('RD5 Craigburn'!$I$2:$I$164,MATCH(Men_5[[#This Row],[Rider]],'RD5 Craigburn'!$F$2:$F$164,0)),"")</f>
        <v/>
      </c>
      <c r="G183" s="38" t="str">
        <f>_xlfn.IFNA(INDEX('RD6 Kinchina'!$I$2:$I$200,MATCH(Men_5[[#This Row],[Rider]],'RD6 Kinchina'!$F$2:$F$200,0)),"")</f>
        <v/>
      </c>
      <c r="H183" s="38" t="str">
        <f>_xlfn.IFNA(INDEX('RD7 O''Hallaron'!$I$2:$I$190,MATCH(Men_5[[#This Row],[Rider]],'RD7 O''Hallaron'!$F$2:$F$201,0)),"")</f>
        <v/>
      </c>
      <c r="I183" s="38" t="str">
        <f>_xlfn.IFNA(INDEX('RD8 Fox Creek'!$I$2:$I$204,MATCH(Men_5[[#This Row],[Rider]],'RD8 Fox Creek'!$F$2:$F$204,0)),"")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O''Halloran]])</f>
        <v>0</v>
      </c>
      <c r="N183" s="60">
        <f>2-COUNTBLANK(Men_5[[#This Row],[RD8 XCO Fox Creek]:[RD9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Fox Creek]:[RD9 XCO Willowie]])</f>
        <v>0</v>
      </c>
      <c r="R183" s="59">
        <f>Men_5[[#This Row],[Best 6 of 8 Overall]]+Men_5[[#This Row],[Best 3 of 4 XCM]]+Men_5[[#This Row],[Total of 2 XCO]]</f>
        <v>0</v>
      </c>
      <c r="S183" s="134" cm="1">
        <f t="array" ref="S183">68-SUM(IF(O183&gt;$O$18:$O$212,1/COUNTIF($O$18:$O$212,$O$18:$O$212)))</f>
        <v>68</v>
      </c>
    </row>
    <row r="184" spans="1:19" ht="16" hidden="1" x14ac:dyDescent="0.2">
      <c r="A184" s="103"/>
      <c r="B184" s="38" t="str">
        <f>_xlfn.IFNA(INDEX('RD1 Eagle'!$I$2:$I$154,MATCH(Men_5[[#This Row],[Rider]],'RD1 Eagle'!$F$2:$F$154,0)),"")</f>
        <v/>
      </c>
      <c r="C184" s="38" t="str">
        <f>_xlfn.IFNA(INDEX('RD2 Shepherds'!$I$2:$I$143,MATCH(Men_5[[#This Row],[Rider]],'RD2 Shepherds'!$F$2:$F$143,0)),"")</f>
        <v/>
      </c>
      <c r="D184" s="38" t="str">
        <f>_xlfn.IFNA(INDEX('RD3 XCO Sheps'!$I$2:$I$190,MATCH(Men_5[[#This Row],[Rider]],'RD3 XCO Sheps'!$F$2:$F$190,0)),"")</f>
        <v/>
      </c>
      <c r="E184" s="38" t="str">
        <f>_xlfn.IFNA(INDEX('RD4 Ohalloran'!$I$2:$I$180,MATCH(Men_5[[#This Row],[Rider]],'RD4 Ohalloran'!$F$2:$F$180,0)),"")</f>
        <v/>
      </c>
      <c r="F184" s="38" t="str">
        <f>_xlfn.IFNA(INDEX('RD5 Craigburn'!$I$2:$I$164,MATCH(Men_5[[#This Row],[Rider]],'RD5 Craigburn'!$F$2:$F$164,0)),"")</f>
        <v/>
      </c>
      <c r="G184" s="38" t="str">
        <f>_xlfn.IFNA(INDEX('RD6 Kinchina'!$I$2:$I$200,MATCH(Men_5[[#This Row],[Rider]],'RD6 Kinchina'!$F$2:$F$200,0)),"")</f>
        <v/>
      </c>
      <c r="H184" s="38" t="str">
        <f>_xlfn.IFNA(INDEX('RD7 O''Hallaron'!$I$2:$I$190,MATCH(Men_5[[#This Row],[Rider]],'RD7 O''Hallaron'!$F$2:$F$201,0)),"")</f>
        <v/>
      </c>
      <c r="I184" s="38" t="str">
        <f>_xlfn.IFNA(INDEX('RD8 Fox Creek'!$I$2:$I$204,MATCH(Men_5[[#This Row],[Rider]],'RD8 Fox Creek'!$F$2:$F$204,0)),"")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O''Halloran]])</f>
        <v>0</v>
      </c>
      <c r="N184" s="60">
        <f>2-COUNTBLANK(Men_5[[#This Row],[RD8 XCO Fox Creek]:[RD9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Fox Creek]:[RD9 XCO Willowie]])</f>
        <v>0</v>
      </c>
      <c r="R184" s="59">
        <f>Men_5[[#This Row],[Best 6 of 8 Overall]]+Men_5[[#This Row],[Best 3 of 4 XCM]]+Men_5[[#This Row],[Total of 2 XCO]]</f>
        <v>0</v>
      </c>
      <c r="S184" s="134" cm="1">
        <f t="array" ref="S184">68-SUM(IF(O184&gt;$O$18:$O$212,1/COUNTIF($O$18:$O$212,$O$18:$O$212)))</f>
        <v>68</v>
      </c>
    </row>
    <row r="185" spans="1:19" ht="16" hidden="1" x14ac:dyDescent="0.2">
      <c r="A185" s="103"/>
      <c r="B185" s="38" t="str">
        <f>_xlfn.IFNA(INDEX('RD1 Eagle'!$I$2:$I$154,MATCH(Men_5[[#This Row],[Rider]],'RD1 Eagle'!$F$2:$F$154,0)),"")</f>
        <v/>
      </c>
      <c r="C185" s="38" t="str">
        <f>_xlfn.IFNA(INDEX('RD2 Shepherds'!$I$2:$I$143,MATCH(Men_5[[#This Row],[Rider]],'RD2 Shepherds'!$F$2:$F$143,0)),"")</f>
        <v/>
      </c>
      <c r="D185" s="38" t="str">
        <f>_xlfn.IFNA(INDEX('RD3 XCO Sheps'!$I$2:$I$190,MATCH(Men_5[[#This Row],[Rider]],'RD3 XCO Sheps'!$F$2:$F$190,0)),"")</f>
        <v/>
      </c>
      <c r="E185" s="38" t="str">
        <f>_xlfn.IFNA(INDEX('RD4 Ohalloran'!$I$2:$I$180,MATCH(Men_5[[#This Row],[Rider]],'RD4 Ohalloran'!$F$2:$F$180,0)),"")</f>
        <v/>
      </c>
      <c r="F185" s="38" t="str">
        <f>_xlfn.IFNA(INDEX('RD5 Craigburn'!$I$2:$I$164,MATCH(Men_5[[#This Row],[Rider]],'RD5 Craigburn'!$F$2:$F$164,0)),"")</f>
        <v/>
      </c>
      <c r="G185" s="38" t="str">
        <f>_xlfn.IFNA(INDEX('RD6 Kinchina'!$I$2:$I$200,MATCH(Men_5[[#This Row],[Rider]],'RD6 Kinchina'!$F$2:$F$200,0)),"")</f>
        <v/>
      </c>
      <c r="H185" s="38" t="str">
        <f>_xlfn.IFNA(INDEX('RD7 O''Hallaron'!$I$2:$I$190,MATCH(Men_5[[#This Row],[Rider]],'RD7 O''Hallaron'!$F$2:$F$201,0)),"")</f>
        <v/>
      </c>
      <c r="I185" s="38" t="str">
        <f>_xlfn.IFNA(INDEX('RD8 Fox Creek'!$I$2:$I$204,MATCH(Men_5[[#This Row],[Rider]],'RD8 Fox Creek'!$F$2:$F$204,0)),"")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O''Halloran]])</f>
        <v>0</v>
      </c>
      <c r="N185" s="60">
        <f>2-COUNTBLANK(Men_5[[#This Row],[RD8 XCO Fox Creek]:[RD9 XCO Willowie]])</f>
        <v>0</v>
      </c>
      <c r="O185" s="60" cm="1">
        <f t="array" ref="O185">IF(Men_5[[#This Row],[Number of Rounds]]&lt;=6,SUM(IF(ISNA(B185:J185),0,B185:J185)),SUM(LARGE(B185:J185,{1,2,3,4,5,6})))</f>
        <v>0</v>
      </c>
      <c r="P185" s="60" cm="1">
        <f t="array" ref="P185">IF(Men_5[[#This Row],[Number of Rounds XCM]]&lt;=3,SUM(IF(ISNA(E185:H185),0,E185:H185)),SUM(LARGE(E185:H185,{1,2,3})))</f>
        <v>0</v>
      </c>
      <c r="Q185" s="60">
        <f>SUM(Men_5[[#This Row],[RD8 XCO Fox Creek]:[RD9 XCO Willowie]])</f>
        <v>0</v>
      </c>
      <c r="R185" s="59">
        <f>Men_5[[#This Row],[Best 6 of 8 Overall]]+Men_5[[#This Row],[Best 3 of 4 XCM]]+Men_5[[#This Row],[Total of 2 XCO]]</f>
        <v>0</v>
      </c>
      <c r="S185" s="134" cm="1">
        <f t="array" ref="S185">68-SUM(IF(O185&gt;$O$18:$O$212,1/COUNTIF($O$18:$O$212,$O$18:$O$212)))</f>
        <v>68</v>
      </c>
    </row>
    <row r="186" spans="1:19" ht="16" hidden="1" x14ac:dyDescent="0.2">
      <c r="A186" s="103"/>
      <c r="B186" s="38" t="str">
        <f>_xlfn.IFNA(INDEX('RD1 Eagle'!$I$2:$I$154,MATCH(Men_5[[#This Row],[Rider]],'RD1 Eagle'!$F$2:$F$154,0)),"")</f>
        <v/>
      </c>
      <c r="C186" s="38" t="str">
        <f>_xlfn.IFNA(INDEX('RD2 Shepherds'!$I$2:$I$143,MATCH(Men_5[[#This Row],[Rider]],'RD2 Shepherds'!$F$2:$F$143,0)),"")</f>
        <v/>
      </c>
      <c r="D186" s="38" t="str">
        <f>_xlfn.IFNA(INDEX('RD3 XCO Sheps'!$I$2:$I$190,MATCH(Men_5[[#This Row],[Rider]],'RD3 XCO Sheps'!$F$2:$F$190,0)),"")</f>
        <v/>
      </c>
      <c r="E186" s="38" t="str">
        <f>_xlfn.IFNA(INDEX('RD4 Ohalloran'!$I$2:$I$180,MATCH(Men_5[[#This Row],[Rider]],'RD4 Ohalloran'!$F$2:$F$180,0)),"")</f>
        <v/>
      </c>
      <c r="F186" s="38" t="str">
        <f>_xlfn.IFNA(INDEX('RD5 Craigburn'!$I$2:$I$164,MATCH(Men_5[[#This Row],[Rider]],'RD5 Craigburn'!$F$2:$F$164,0)),"")</f>
        <v/>
      </c>
      <c r="G186" s="38" t="str">
        <f>_xlfn.IFNA(INDEX('RD6 Kinchina'!$I$2:$I$200,MATCH(Men_5[[#This Row],[Rider]],'RD6 Kinchina'!$F$2:$F$200,0)),"")</f>
        <v/>
      </c>
      <c r="H186" s="38" t="str">
        <f>_xlfn.IFNA(INDEX('RD7 O''Hallaron'!$I$2:$I$190,MATCH(Men_5[[#This Row],[Rider]],'RD7 O''Hallaron'!$F$2:$F$201,0)),"")</f>
        <v/>
      </c>
      <c r="I186" s="38" t="str">
        <f>_xlfn.IFNA(INDEX('RD8 Fox Creek'!$I$2:$I$204,MATCH(Men_5[[#This Row],[Rider]],'RD8 Fox Creek'!$F$2:$F$204,0)),"")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O''Halloran]])</f>
        <v>0</v>
      </c>
      <c r="N186" s="60">
        <f>2-COUNTBLANK(Men_5[[#This Row],[RD8 XCO Fox Creek]:[RD9 XCO Willowie]])</f>
        <v>0</v>
      </c>
      <c r="O186" s="60" cm="1">
        <f t="array" ref="O186">IF(Men_5[[#This Row],[Number of Rounds]]&lt;=6,SUM(IF(ISNA(B186:J186),0,B186:J186)),SUM(LARGE(B186:J186,{1,2,3,4,5,6})))</f>
        <v>0</v>
      </c>
      <c r="P186" s="60" cm="1">
        <f t="array" ref="P186">IF(Men_5[[#This Row],[Number of Rounds XCM]]&lt;=3,SUM(IF(ISNA(E186:H186),0,E186:H186)),SUM(LARGE(E186:H186,{1,2,3})))</f>
        <v>0</v>
      </c>
      <c r="Q186" s="60">
        <f>SUM(Men_5[[#This Row],[RD8 XCO Fox Creek]:[RD9 XCO Willowie]])</f>
        <v>0</v>
      </c>
      <c r="R186" s="59">
        <f>Men_5[[#This Row],[Best 6 of 8 Overall]]+Men_5[[#This Row],[Best 3 of 4 XCM]]+Men_5[[#This Row],[Total of 2 XCO]]</f>
        <v>0</v>
      </c>
      <c r="S186" s="134" cm="1">
        <f t="array" ref="S186">68-SUM(IF(O186&gt;$O$18:$O$212,1/COUNTIF($O$18:$O$212,$O$18:$O$212)))</f>
        <v>68</v>
      </c>
    </row>
    <row r="187" spans="1:19" ht="16" hidden="1" x14ac:dyDescent="0.2">
      <c r="A187" s="103"/>
      <c r="B187" s="38" t="str">
        <f>_xlfn.IFNA(INDEX('RD1 Eagle'!$I$2:$I$154,MATCH(Men_5[[#This Row],[Rider]],'RD1 Eagle'!$F$2:$F$154,0)),"")</f>
        <v/>
      </c>
      <c r="C187" s="38" t="str">
        <f>_xlfn.IFNA(INDEX('RD2 Shepherds'!$I$2:$I$143,MATCH(Men_5[[#This Row],[Rider]],'RD2 Shepherds'!$F$2:$F$143,0)),"")</f>
        <v/>
      </c>
      <c r="D187" s="38" t="str">
        <f>_xlfn.IFNA(INDEX('RD3 XCO Sheps'!$I$2:$I$190,MATCH(Men_5[[#This Row],[Rider]],'RD3 XCO Sheps'!$F$2:$F$190,0)),"")</f>
        <v/>
      </c>
      <c r="E187" s="38" t="str">
        <f>_xlfn.IFNA(INDEX('RD4 Ohalloran'!$I$2:$I$180,MATCH(Men_5[[#This Row],[Rider]],'RD4 Ohalloran'!$F$2:$F$180,0)),"")</f>
        <v/>
      </c>
      <c r="F187" s="38" t="str">
        <f>_xlfn.IFNA(INDEX('RD5 Craigburn'!$I$2:$I$164,MATCH(Men_5[[#This Row],[Rider]],'RD5 Craigburn'!$F$2:$F$164,0)),"")</f>
        <v/>
      </c>
      <c r="G187" s="38" t="str">
        <f>_xlfn.IFNA(INDEX('RD6 Kinchina'!$I$2:$I$200,MATCH(Men_5[[#This Row],[Rider]],'RD6 Kinchina'!$F$2:$F$200,0)),"")</f>
        <v/>
      </c>
      <c r="H187" s="38" t="str">
        <f>_xlfn.IFNA(INDEX('RD7 O''Hallaron'!$I$2:$I$190,MATCH(Men_5[[#This Row],[Rider]],'RD7 O''Hallaron'!$F$2:$F$201,0)),"")</f>
        <v/>
      </c>
      <c r="I187" s="38" t="str">
        <f>_xlfn.IFNA(INDEX('RD8 Fox Creek'!$I$2:$I$204,MATCH(Men_5[[#This Row],[Rider]],'RD8 Fox Creek'!$F$2:$F$204,0)),"")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O''Halloran]])</f>
        <v>0</v>
      </c>
      <c r="N187" s="60">
        <f>2-COUNTBLANK(Men_5[[#This Row],[RD8 XCO Fox Creek]:[RD9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Fox Creek]:[RD9 XCO Willowie]])</f>
        <v>0</v>
      </c>
      <c r="R187" s="59">
        <f>Men_5[[#This Row],[Best 6 of 8 Overall]]+Men_5[[#This Row],[Best 3 of 4 XCM]]+Men_5[[#This Row],[Total of 2 XCO]]</f>
        <v>0</v>
      </c>
      <c r="S187" s="134" cm="1">
        <f t="array" ref="S187">68-SUM(IF(O187&gt;$O$18:$O$212,1/COUNTIF($O$18:$O$212,$O$18:$O$212)))</f>
        <v>68</v>
      </c>
    </row>
    <row r="188" spans="1:19" ht="16" hidden="1" x14ac:dyDescent="0.2">
      <c r="A188" s="103"/>
      <c r="B188" s="38" t="str">
        <f>_xlfn.IFNA(INDEX('RD1 Eagle'!$I$2:$I$154,MATCH(Men_5[[#This Row],[Rider]],'RD1 Eagle'!$F$2:$F$154,0)),"")</f>
        <v/>
      </c>
      <c r="C188" s="38" t="str">
        <f>_xlfn.IFNA(INDEX('RD2 Shepherds'!$I$2:$I$143,MATCH(Men_5[[#This Row],[Rider]],'RD2 Shepherds'!$F$2:$F$143,0)),"")</f>
        <v/>
      </c>
      <c r="D188" s="38" t="str">
        <f>_xlfn.IFNA(INDEX('RD3 XCO Sheps'!$I$2:$I$190,MATCH(Men_5[[#This Row],[Rider]],'RD3 XCO Sheps'!$F$2:$F$190,0)),"")</f>
        <v/>
      </c>
      <c r="E188" s="38" t="str">
        <f>_xlfn.IFNA(INDEX('RD4 Ohalloran'!$I$2:$I$180,MATCH(Men_5[[#This Row],[Rider]],'RD4 Ohalloran'!$F$2:$F$180,0)),"")</f>
        <v/>
      </c>
      <c r="F188" s="38" t="str">
        <f>_xlfn.IFNA(INDEX('RD5 Craigburn'!$I$2:$I$164,MATCH(Men_5[[#This Row],[Rider]],'RD5 Craigburn'!$F$2:$F$164,0)),"")</f>
        <v/>
      </c>
      <c r="G188" s="38" t="str">
        <f>_xlfn.IFNA(INDEX('RD6 Kinchina'!$I$2:$I$200,MATCH(Men_5[[#This Row],[Rider]],'RD6 Kinchina'!$F$2:$F$200,0)),"")</f>
        <v/>
      </c>
      <c r="H188" s="38" t="str">
        <f>_xlfn.IFNA(INDEX('RD7 O''Hallaron'!$I$2:$I$190,MATCH(Men_5[[#This Row],[Rider]],'RD7 O''Hallaron'!$F$2:$F$201,0)),"")</f>
        <v/>
      </c>
      <c r="I188" s="38" t="str">
        <f>_xlfn.IFNA(INDEX('RD8 Fox Creek'!$I$2:$I$204,MATCH(Men_5[[#This Row],[Rider]],'RD8 Fox Creek'!$F$2:$F$204,0)),"")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O''Halloran]])</f>
        <v>0</v>
      </c>
      <c r="N188" s="107">
        <f>2-COUNTBLANK(Men_5[[#This Row],[RD8 XCO Fox Creek]:[RD9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Fox Creek]:[RD9 XCO Willowie]])</f>
        <v>0</v>
      </c>
      <c r="R188" s="59">
        <f>Men_5[[#This Row],[Best 6 of 8 Overall]]+Men_5[[#This Row],[Best 3 of 4 XCM]]+Men_5[[#This Row],[Total of 2 XCO]]</f>
        <v>0</v>
      </c>
      <c r="S188" s="134" cm="1">
        <f t="array" ref="S188">68-SUM(IF(O188&gt;$O$18:$O$212,1/COUNTIF($O$18:$O$212,$O$18:$O$212)))</f>
        <v>68</v>
      </c>
    </row>
    <row r="189" spans="1:19" ht="16" hidden="1" x14ac:dyDescent="0.2">
      <c r="A189" s="103"/>
      <c r="B189" s="38" t="str">
        <f>_xlfn.IFNA(INDEX('RD1 Eagle'!$I$2:$I$154,MATCH(Men_5[[#This Row],[Rider]],'RD1 Eagle'!$F$2:$F$154,0)),"")</f>
        <v/>
      </c>
      <c r="C189" s="38" t="str">
        <f>_xlfn.IFNA(INDEX('RD2 Shepherds'!$I$2:$I$143,MATCH(Men_5[[#This Row],[Rider]],'RD2 Shepherds'!$F$2:$F$143,0)),"")</f>
        <v/>
      </c>
      <c r="D189" s="38" t="str">
        <f>_xlfn.IFNA(INDEX('RD3 XCO Sheps'!$I$2:$I$190,MATCH(Men_5[[#This Row],[Rider]],'RD3 XCO Sheps'!$F$2:$F$190,0)),"")</f>
        <v/>
      </c>
      <c r="E189" s="38" t="str">
        <f>_xlfn.IFNA(INDEX('RD4 Ohalloran'!$I$2:$I$180,MATCH(Men_5[[#This Row],[Rider]],'RD4 Ohalloran'!$F$2:$F$180,0)),"")</f>
        <v/>
      </c>
      <c r="F189" s="38" t="str">
        <f>_xlfn.IFNA(INDEX('RD5 Craigburn'!$I$2:$I$164,MATCH(Men_5[[#This Row],[Rider]],'RD5 Craigburn'!$F$2:$F$164,0)),"")</f>
        <v/>
      </c>
      <c r="G189" s="38" t="str">
        <f>_xlfn.IFNA(INDEX('RD6 Kinchina'!$I$2:$I$200,MATCH(Men_5[[#This Row],[Rider]],'RD6 Kinchina'!$F$2:$F$200,0)),"")</f>
        <v/>
      </c>
      <c r="H189" s="38" t="str">
        <f>_xlfn.IFNA(INDEX('RD7 O''Hallaron'!$I$2:$I$190,MATCH(Men_5[[#This Row],[Rider]],'RD7 O''Hallaron'!$F$2:$F$201,0)),"")</f>
        <v/>
      </c>
      <c r="I189" s="38" t="str">
        <f>_xlfn.IFNA(INDEX('RD8 Fox Creek'!$I$2:$I$204,MATCH(Men_5[[#This Row],[Rider]],'RD8 Fox Creek'!$F$2:$F$204,0)),"")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O''Halloran]])</f>
        <v>0</v>
      </c>
      <c r="N189" s="107">
        <f>2-COUNTBLANK(Men_5[[#This Row],[RD8 XCO Fox Creek]:[RD9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Fox Creek]:[RD9 XCO Willowie]])</f>
        <v>0</v>
      </c>
      <c r="R189" s="59">
        <f>Men_5[[#This Row],[Best 6 of 8 Overall]]+Men_5[[#This Row],[Best 3 of 4 XCM]]+Men_5[[#This Row],[Total of 2 XCO]]</f>
        <v>0</v>
      </c>
      <c r="S189" s="134" cm="1">
        <f t="array" ref="S189">68-SUM(IF(O189&gt;$O$18:$O$212,1/COUNTIF($O$18:$O$212,$O$18:$O$212)))</f>
        <v>68</v>
      </c>
    </row>
    <row r="190" spans="1:19" ht="16" hidden="1" x14ac:dyDescent="0.2">
      <c r="A190" s="103"/>
      <c r="B190" s="38" t="str">
        <f>_xlfn.IFNA(INDEX('RD1 Eagle'!$I$2:$I$154,MATCH(Men_5[[#This Row],[Rider]],'RD1 Eagle'!$F$2:$F$154,0)),"")</f>
        <v/>
      </c>
      <c r="C190" s="38" t="str">
        <f>_xlfn.IFNA(INDEX('RD2 Shepherds'!$I$2:$I$143,MATCH(Men_5[[#This Row],[Rider]],'RD2 Shepherds'!$F$2:$F$143,0)),"")</f>
        <v/>
      </c>
      <c r="D190" s="38" t="str">
        <f>_xlfn.IFNA(INDEX('RD3 XCO Sheps'!$I$2:$I$190,MATCH(Men_5[[#This Row],[Rider]],'RD3 XCO Sheps'!$F$2:$F$190,0)),"")</f>
        <v/>
      </c>
      <c r="E190" s="38" t="str">
        <f>_xlfn.IFNA(INDEX('RD4 Ohalloran'!$I$2:$I$180,MATCH(Men_5[[#This Row],[Rider]],'RD4 Ohalloran'!$F$2:$F$180,0)),"")</f>
        <v/>
      </c>
      <c r="F190" s="38" t="str">
        <f>_xlfn.IFNA(INDEX('RD5 Craigburn'!$I$2:$I$164,MATCH(Men_5[[#This Row],[Rider]],'RD5 Craigburn'!$F$2:$F$164,0)),"")</f>
        <v/>
      </c>
      <c r="G190" s="38" t="str">
        <f>_xlfn.IFNA(INDEX('RD6 Kinchina'!$I$2:$I$200,MATCH(Men_5[[#This Row],[Rider]],'RD6 Kinchina'!$F$2:$F$200,0)),"")</f>
        <v/>
      </c>
      <c r="H190" s="38" t="str">
        <f>_xlfn.IFNA(INDEX('RD7 O''Hallaron'!$I$2:$I$190,MATCH(Men_5[[#This Row],[Rider]],'RD7 O''Hallaron'!$F$2:$F$201,0)),"")</f>
        <v/>
      </c>
      <c r="I190" s="38" t="str">
        <f>_xlfn.IFNA(INDEX('RD8 Fox Creek'!$I$2:$I$204,MATCH(Men_5[[#This Row],[Rider]],'RD8 Fox Creek'!$F$2:$F$204,0)),"")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O''Halloran]])</f>
        <v>0</v>
      </c>
      <c r="N190" s="107">
        <f>2-COUNTBLANK(Men_5[[#This Row],[RD8 XCO Fox Creek]:[RD9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Fox Creek]:[RD9 XCO Willowie]])</f>
        <v>0</v>
      </c>
      <c r="R190" s="59">
        <f>Men_5[[#This Row],[Best 6 of 8 Overall]]+Men_5[[#This Row],[Best 3 of 4 XCM]]+Men_5[[#This Row],[Total of 2 XCO]]</f>
        <v>0</v>
      </c>
      <c r="S190" s="134" cm="1">
        <f t="array" ref="S190">68-SUM(IF(O190&gt;$O$18:$O$212,1/COUNTIF($O$18:$O$212,$O$18:$O$212)))</f>
        <v>68</v>
      </c>
    </row>
    <row r="191" spans="1:19" ht="16" hidden="1" x14ac:dyDescent="0.2">
      <c r="A191" s="103"/>
      <c r="B191" s="38" t="str">
        <f>_xlfn.IFNA(INDEX('RD1 Eagle'!$I$2:$I$154,MATCH(Men_5[[#This Row],[Rider]],'RD1 Eagle'!$F$2:$F$154,0)),"")</f>
        <v/>
      </c>
      <c r="C191" s="38" t="str">
        <f>_xlfn.IFNA(INDEX('RD2 Shepherds'!$I$2:$I$143,MATCH(Men_5[[#This Row],[Rider]],'RD2 Shepherds'!$F$2:$F$143,0)),"")</f>
        <v/>
      </c>
      <c r="D191" s="38" t="str">
        <f>_xlfn.IFNA(INDEX('RD3 XCO Sheps'!$I$2:$I$190,MATCH(Men_5[[#This Row],[Rider]],'RD3 XCO Sheps'!$F$2:$F$190,0)),"")</f>
        <v/>
      </c>
      <c r="E191" s="38" t="str">
        <f>_xlfn.IFNA(INDEX('RD4 Ohalloran'!$I$2:$I$180,MATCH(Men_5[[#This Row],[Rider]],'RD4 Ohalloran'!$F$2:$F$180,0)),"")</f>
        <v/>
      </c>
      <c r="F191" s="38" t="str">
        <f>_xlfn.IFNA(INDEX('RD5 Craigburn'!$I$2:$I$164,MATCH(Men_5[[#This Row],[Rider]],'RD5 Craigburn'!$F$2:$F$164,0)),"")</f>
        <v/>
      </c>
      <c r="G191" s="38" t="str">
        <f>_xlfn.IFNA(INDEX('RD6 Kinchina'!$I$2:$I$200,MATCH(Men_5[[#This Row],[Rider]],'RD6 Kinchina'!$F$2:$F$200,0)),"")</f>
        <v/>
      </c>
      <c r="H191" s="38" t="str">
        <f>_xlfn.IFNA(INDEX('RD7 O''Hallaron'!$I$2:$I$190,MATCH(Men_5[[#This Row],[Rider]],'RD7 O''Hallaron'!$F$2:$F$201,0)),"")</f>
        <v/>
      </c>
      <c r="I191" s="38" t="str">
        <f>_xlfn.IFNA(INDEX('RD8 Fox Creek'!$I$2:$I$204,MATCH(Men_5[[#This Row],[Rider]],'RD8 Fox Creek'!$F$2:$F$204,0)),"")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O''Halloran]])</f>
        <v>0</v>
      </c>
      <c r="N191" s="107">
        <f>2-COUNTBLANK(Men_5[[#This Row],[RD8 XCO Fox Creek]:[RD9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Fox Creek]:[RD9 XCO Willowie]])</f>
        <v>0</v>
      </c>
      <c r="R191" s="59">
        <f>Men_5[[#This Row],[Best 6 of 8 Overall]]+Men_5[[#This Row],[Best 3 of 4 XCM]]+Men_5[[#This Row],[Total of 2 XCO]]</f>
        <v>0</v>
      </c>
      <c r="S191" s="134" cm="1">
        <f t="array" ref="S191">68-SUM(IF(O191&gt;$O$18:$O$212,1/COUNTIF($O$18:$O$212,$O$18:$O$212)))</f>
        <v>68</v>
      </c>
    </row>
    <row r="192" spans="1:19" ht="16" hidden="1" x14ac:dyDescent="0.2">
      <c r="A192" s="103"/>
      <c r="B192" s="38" t="str">
        <f>_xlfn.IFNA(INDEX('RD1 Eagle'!$I$2:$I$154,MATCH(Men_5[[#This Row],[Rider]],'RD1 Eagle'!$F$2:$F$154,0)),"")</f>
        <v/>
      </c>
      <c r="C192" s="38" t="str">
        <f>_xlfn.IFNA(INDEX('RD2 Shepherds'!$I$2:$I$143,MATCH(Men_5[[#This Row],[Rider]],'RD2 Shepherds'!$F$2:$F$143,0)),"")</f>
        <v/>
      </c>
      <c r="D192" s="38" t="str">
        <f>_xlfn.IFNA(INDEX('RD3 XCO Sheps'!$I$2:$I$190,MATCH(Men_5[[#This Row],[Rider]],'RD3 XCO Sheps'!$F$2:$F$190,0)),"")</f>
        <v/>
      </c>
      <c r="E192" s="38" t="str">
        <f>_xlfn.IFNA(INDEX('RD4 Ohalloran'!$I$2:$I$180,MATCH(Men_5[[#This Row],[Rider]],'RD4 Ohalloran'!$F$2:$F$180,0)),"")</f>
        <v/>
      </c>
      <c r="F192" s="38" t="str">
        <f>_xlfn.IFNA(INDEX('RD5 Craigburn'!$I$2:$I$164,MATCH(Men_5[[#This Row],[Rider]],'RD5 Craigburn'!$F$2:$F$164,0)),"")</f>
        <v/>
      </c>
      <c r="G192" s="38" t="str">
        <f>_xlfn.IFNA(INDEX('RD6 Kinchina'!$I$2:$I$200,MATCH(Men_5[[#This Row],[Rider]],'RD6 Kinchina'!$F$2:$F$200,0)),"")</f>
        <v/>
      </c>
      <c r="H192" s="38" t="str">
        <f>_xlfn.IFNA(INDEX('RD7 O''Hallaron'!$I$2:$I$190,MATCH(Men_5[[#This Row],[Rider]],'RD7 O''Hallaron'!$F$2:$F$201,0)),"")</f>
        <v/>
      </c>
      <c r="I192" s="38" t="str">
        <f>_xlfn.IFNA(INDEX('RD8 Fox Creek'!$I$2:$I$204,MATCH(Men_5[[#This Row],[Rider]],'RD8 Fox Creek'!$F$2:$F$204,0)),"")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O''Halloran]])</f>
        <v>0</v>
      </c>
      <c r="N192" s="107">
        <f>2-COUNTBLANK(Men_5[[#This Row],[RD8 XCO Fox Creek]:[RD9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Fox Creek]:[RD9 XCO Willowie]])</f>
        <v>0</v>
      </c>
      <c r="R192" s="59">
        <f>Men_5[[#This Row],[Best 6 of 8 Overall]]+Men_5[[#This Row],[Best 3 of 4 XCM]]+Men_5[[#This Row],[Total of 2 XCO]]</f>
        <v>0</v>
      </c>
      <c r="S192" s="134" cm="1">
        <f t="array" ref="S192">68-SUM(IF(O192&gt;$O$18:$O$212,1/COUNTIF($O$18:$O$212,$O$18:$O$212)))</f>
        <v>68</v>
      </c>
    </row>
    <row r="193" spans="1:19" ht="16" hidden="1" x14ac:dyDescent="0.2">
      <c r="A193" s="103"/>
      <c r="B193" s="38" t="str">
        <f>_xlfn.IFNA(INDEX('RD1 Eagle'!$I$2:$I$154,MATCH(Men_5[[#This Row],[Rider]],'RD1 Eagle'!$F$2:$F$154,0)),"")</f>
        <v/>
      </c>
      <c r="C193" s="38" t="str">
        <f>_xlfn.IFNA(INDEX('RD2 Shepherds'!$I$2:$I$143,MATCH(Men_5[[#This Row],[Rider]],'RD2 Shepherds'!$F$2:$F$143,0)),"")</f>
        <v/>
      </c>
      <c r="D193" s="38" t="str">
        <f>_xlfn.IFNA(INDEX('RD3 XCO Sheps'!$I$2:$I$190,MATCH(Men_5[[#This Row],[Rider]],'RD3 XCO Sheps'!$F$2:$F$190,0)),"")</f>
        <v/>
      </c>
      <c r="E193" s="38" t="str">
        <f>_xlfn.IFNA(INDEX('RD4 Ohalloran'!$I$2:$I$180,MATCH(Men_5[[#This Row],[Rider]],'RD4 Ohalloran'!$F$2:$F$180,0)),"")</f>
        <v/>
      </c>
      <c r="F193" s="38" t="str">
        <f>_xlfn.IFNA(INDEX('RD5 Craigburn'!$I$2:$I$164,MATCH(Men_5[[#This Row],[Rider]],'RD5 Craigburn'!$F$2:$F$164,0)),"")</f>
        <v/>
      </c>
      <c r="G193" s="38" t="str">
        <f>_xlfn.IFNA(INDEX('RD6 Kinchina'!$I$2:$I$200,MATCH(Men_5[[#This Row],[Rider]],'RD6 Kinchina'!$F$2:$F$200,0)),"")</f>
        <v/>
      </c>
      <c r="H193" s="38" t="str">
        <f>_xlfn.IFNA(INDEX('RD7 O''Hallaron'!$I$2:$I$190,MATCH(Men_5[[#This Row],[Rider]],'RD7 O''Hallaron'!$F$2:$F$201,0)),"")</f>
        <v/>
      </c>
      <c r="I193" s="38" t="str">
        <f>_xlfn.IFNA(INDEX('RD8 Fox Creek'!$I$2:$I$204,MATCH(Men_5[[#This Row],[Rider]],'RD8 Fox Creek'!$F$2:$F$204,0)),"")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O''Halloran]])</f>
        <v>0</v>
      </c>
      <c r="N193" s="107">
        <f>2-COUNTBLANK(Men_5[[#This Row],[RD8 XCO Fox Creek]:[RD9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Fox Creek]:[RD9 XCO Willowie]])</f>
        <v>0</v>
      </c>
      <c r="R193" s="59">
        <f>Men_5[[#This Row],[Best 6 of 8 Overall]]+Men_5[[#This Row],[Best 3 of 4 XCM]]+Men_5[[#This Row],[Total of 2 XCO]]</f>
        <v>0</v>
      </c>
      <c r="S193" s="134" cm="1">
        <f t="array" ref="S193">68-SUM(IF(O193&gt;$O$18:$O$212,1/COUNTIF($O$18:$O$212,$O$18:$O$212)))</f>
        <v>68</v>
      </c>
    </row>
    <row r="194" spans="1:19" ht="16" hidden="1" x14ac:dyDescent="0.2">
      <c r="A194" s="103"/>
      <c r="B194" s="38" t="str">
        <f>_xlfn.IFNA(INDEX('RD1 Eagle'!$I$2:$I$154,MATCH(Men_5[[#This Row],[Rider]],'RD1 Eagle'!$F$2:$F$154,0)),"")</f>
        <v/>
      </c>
      <c r="C194" s="38" t="str">
        <f>_xlfn.IFNA(INDEX('RD2 Shepherds'!$I$2:$I$143,MATCH(Men_5[[#This Row],[Rider]],'RD2 Shepherds'!$F$2:$F$143,0)),"")</f>
        <v/>
      </c>
      <c r="D194" s="38" t="str">
        <f>_xlfn.IFNA(INDEX('RD3 XCO Sheps'!$I$2:$I$190,MATCH(Men_5[[#This Row],[Rider]],'RD3 XCO Sheps'!$F$2:$F$190,0)),"")</f>
        <v/>
      </c>
      <c r="E194" s="38" t="str">
        <f>_xlfn.IFNA(INDEX('RD4 Ohalloran'!$I$2:$I$180,MATCH(Men_5[[#This Row],[Rider]],'RD4 Ohalloran'!$F$2:$F$180,0)),"")</f>
        <v/>
      </c>
      <c r="F194" s="38" t="str">
        <f>_xlfn.IFNA(INDEX('RD5 Craigburn'!$I$2:$I$164,MATCH(Men_5[[#This Row],[Rider]],'RD5 Craigburn'!$F$2:$F$164,0)),"")</f>
        <v/>
      </c>
      <c r="G194" s="38" t="str">
        <f>_xlfn.IFNA(INDEX('RD6 Kinchina'!$I$2:$I$200,MATCH(Men_5[[#This Row],[Rider]],'RD6 Kinchina'!$F$2:$F$200,0)),"")</f>
        <v/>
      </c>
      <c r="H194" s="38" t="str">
        <f>_xlfn.IFNA(INDEX('RD7 O''Hallaron'!$I$2:$I$190,MATCH(Men_5[[#This Row],[Rider]],'RD7 O''Hallaron'!$F$2:$F$201,0)),"")</f>
        <v/>
      </c>
      <c r="I194" s="38" t="str">
        <f>_xlfn.IFNA(INDEX('RD8 Fox Creek'!$I$2:$I$204,MATCH(Men_5[[#This Row],[Rider]],'RD8 Fox Creek'!$F$2:$F$204,0)),"")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O''Halloran]])</f>
        <v>0</v>
      </c>
      <c r="N194" s="107">
        <f>2-COUNTBLANK(Men_5[[#This Row],[RD8 XCO Fox Creek]:[RD9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Fox Creek]:[RD9 XCO Willowie]])</f>
        <v>0</v>
      </c>
      <c r="R194" s="59">
        <f>Men_5[[#This Row],[Best 6 of 8 Overall]]+Men_5[[#This Row],[Best 3 of 4 XCM]]+Men_5[[#This Row],[Total of 2 XCO]]</f>
        <v>0</v>
      </c>
      <c r="S194" s="134" cm="1">
        <f t="array" ref="S194">68-SUM(IF(O194&gt;$O$18:$O$212,1/COUNTIF($O$18:$O$212,$O$18:$O$212)))</f>
        <v>68</v>
      </c>
    </row>
    <row r="195" spans="1:19" ht="16" hidden="1" x14ac:dyDescent="0.2">
      <c r="A195" s="103"/>
      <c r="B195" s="38" t="str">
        <f>_xlfn.IFNA(INDEX('RD1 Eagle'!$I$2:$I$154,MATCH(Men_5[[#This Row],[Rider]],'RD1 Eagle'!$F$2:$F$154,0)),"")</f>
        <v/>
      </c>
      <c r="C195" s="38" t="str">
        <f>_xlfn.IFNA(INDEX('RD2 Shepherds'!$I$2:$I$143,MATCH(Men_5[[#This Row],[Rider]],'RD2 Shepherds'!$F$2:$F$143,0)),"")</f>
        <v/>
      </c>
      <c r="D195" s="38" t="str">
        <f>_xlfn.IFNA(INDEX('RD3 XCO Sheps'!$I$2:$I$190,MATCH(Men_5[[#This Row],[Rider]],'RD3 XCO Sheps'!$F$2:$F$190,0)),"")</f>
        <v/>
      </c>
      <c r="E195" s="38" t="str">
        <f>_xlfn.IFNA(INDEX('RD4 Ohalloran'!$I$2:$I$180,MATCH(Men_5[[#This Row],[Rider]],'RD4 Ohalloran'!$F$2:$F$180,0)),"")</f>
        <v/>
      </c>
      <c r="F195" s="38" t="str">
        <f>_xlfn.IFNA(INDEX('RD5 Craigburn'!$I$2:$I$164,MATCH(Men_5[[#This Row],[Rider]],'RD5 Craigburn'!$F$2:$F$164,0)),"")</f>
        <v/>
      </c>
      <c r="G195" s="38" t="str">
        <f>_xlfn.IFNA(INDEX('RD6 Kinchina'!$I$2:$I$200,MATCH(Men_5[[#This Row],[Rider]],'RD6 Kinchina'!$F$2:$F$200,0)),"")</f>
        <v/>
      </c>
      <c r="H195" s="38" t="str">
        <f>_xlfn.IFNA(INDEX('RD7 O''Hallaron'!$I$2:$I$190,MATCH(Men_5[[#This Row],[Rider]],'RD7 O''Hallaron'!$F$2:$F$201,0)),"")</f>
        <v/>
      </c>
      <c r="I195" s="38" t="str">
        <f>_xlfn.IFNA(INDEX('RD8 Fox Creek'!$I$2:$I$204,MATCH(Men_5[[#This Row],[Rider]],'RD8 Fox Creek'!$F$2:$F$204,0)),"")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O''Halloran]])</f>
        <v>0</v>
      </c>
      <c r="N195" s="107">
        <f>2-COUNTBLANK(Men_5[[#This Row],[RD8 XCO Fox Creek]:[RD9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Fox Creek]:[RD9 XCO Willowie]])</f>
        <v>0</v>
      </c>
      <c r="R195" s="59">
        <f>Men_5[[#This Row],[Best 6 of 8 Overall]]+Men_5[[#This Row],[Best 3 of 4 XCM]]+Men_5[[#This Row],[Total of 2 XCO]]</f>
        <v>0</v>
      </c>
      <c r="S195" s="134" cm="1">
        <f t="array" ref="S195">68-SUM(IF(O195&gt;$O$18:$O$212,1/COUNTIF($O$18:$O$212,$O$18:$O$212)))</f>
        <v>68</v>
      </c>
    </row>
    <row r="196" spans="1:19" ht="16" hidden="1" x14ac:dyDescent="0.2">
      <c r="A196" s="103"/>
      <c r="B196" s="38" t="str">
        <f>_xlfn.IFNA(INDEX('RD1 Eagle'!$I$2:$I$154,MATCH(Men_5[[#This Row],[Rider]],'RD1 Eagle'!$F$2:$F$154,0)),"")</f>
        <v/>
      </c>
      <c r="C196" s="38" t="str">
        <f>_xlfn.IFNA(INDEX('RD2 Shepherds'!$I$2:$I$143,MATCH(Men_5[[#This Row],[Rider]],'RD2 Shepherds'!$F$2:$F$143,0)),"")</f>
        <v/>
      </c>
      <c r="D196" s="38" t="str">
        <f>_xlfn.IFNA(INDEX('RD3 XCO Sheps'!$I$2:$I$190,MATCH(Men_5[[#This Row],[Rider]],'RD3 XCO Sheps'!$F$2:$F$190,0)),"")</f>
        <v/>
      </c>
      <c r="E196" s="38" t="str">
        <f>_xlfn.IFNA(INDEX('RD4 Ohalloran'!$I$2:$I$180,MATCH(Men_5[[#This Row],[Rider]],'RD4 Ohalloran'!$F$2:$F$180,0)),"")</f>
        <v/>
      </c>
      <c r="F196" s="38" t="str">
        <f>_xlfn.IFNA(INDEX('RD5 Craigburn'!$I$2:$I$164,MATCH(Men_5[[#This Row],[Rider]],'RD5 Craigburn'!$F$2:$F$164,0)),"")</f>
        <v/>
      </c>
      <c r="G196" s="38" t="str">
        <f>_xlfn.IFNA(INDEX('RD6 Kinchina'!$I$2:$I$200,MATCH(Men_5[[#This Row],[Rider]],'RD6 Kinchina'!$F$2:$F$200,0)),"")</f>
        <v/>
      </c>
      <c r="H196" s="38" t="str">
        <f>_xlfn.IFNA(INDEX('RD7 O''Hallaron'!$I$2:$I$190,MATCH(Men_5[[#This Row],[Rider]],'RD7 O''Hallaron'!$F$2:$F$201,0)),"")</f>
        <v/>
      </c>
      <c r="I196" s="38" t="str">
        <f>_xlfn.IFNA(INDEX('RD8 Fox Creek'!$I$2:$I$204,MATCH(Men_5[[#This Row],[Rider]],'RD8 Fox Creek'!$F$2:$F$204,0)),"")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O''Halloran]])</f>
        <v>0</v>
      </c>
      <c r="N196" s="60">
        <f>2-COUNTBLANK(Men_5[[#This Row],[RD8 XCO Fox Creek]:[RD9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Fox Creek]:[RD9 XCO Willowie]])</f>
        <v>0</v>
      </c>
      <c r="R196" s="59">
        <f>Men_5[[#This Row],[Best 6 of 8 Overall]]+Men_5[[#This Row],[Best 3 of 4 XCM]]+Men_5[[#This Row],[Total of 2 XCO]]</f>
        <v>0</v>
      </c>
      <c r="S196" s="134" cm="1">
        <f t="array" ref="S196">68-SUM(IF(O196&gt;$O$18:$O$212,1/COUNTIF($O$18:$O$212,$O$18:$O$212)))</f>
        <v>68</v>
      </c>
    </row>
    <row r="197" spans="1:19" ht="16" hidden="1" x14ac:dyDescent="0.2">
      <c r="A197" s="103"/>
      <c r="B197" s="38" t="str">
        <f>_xlfn.IFNA(INDEX('RD1 Eagle'!$I$2:$I$154,MATCH(Men_5[[#This Row],[Rider]],'RD1 Eagle'!$F$2:$F$154,0)),"")</f>
        <v/>
      </c>
      <c r="C197" s="38" t="str">
        <f>_xlfn.IFNA(INDEX('RD2 Shepherds'!$I$2:$I$143,MATCH(Men_5[[#This Row],[Rider]],'RD2 Shepherds'!$F$2:$F$143,0)),"")</f>
        <v/>
      </c>
      <c r="D197" s="38" t="str">
        <f>_xlfn.IFNA(INDEX('RD3 XCO Sheps'!$I$2:$I$190,MATCH(Men_5[[#This Row],[Rider]],'RD3 XCO Sheps'!$F$2:$F$190,0)),"")</f>
        <v/>
      </c>
      <c r="E197" s="38" t="str">
        <f>_xlfn.IFNA(INDEX('RD4 Ohalloran'!$I$2:$I$180,MATCH(Men_5[[#This Row],[Rider]],'RD4 Ohalloran'!$F$2:$F$180,0)),"")</f>
        <v/>
      </c>
      <c r="F197" s="38" t="str">
        <f>_xlfn.IFNA(INDEX('RD5 Craigburn'!$I$2:$I$164,MATCH(Men_5[[#This Row],[Rider]],'RD5 Craigburn'!$F$2:$F$164,0)),"")</f>
        <v/>
      </c>
      <c r="G197" s="38" t="str">
        <f>_xlfn.IFNA(INDEX('RD6 Kinchina'!$I$2:$I$200,MATCH(Men_5[[#This Row],[Rider]],'RD6 Kinchina'!$F$2:$F$200,0)),"")</f>
        <v/>
      </c>
      <c r="H197" s="38" t="str">
        <f>_xlfn.IFNA(INDEX('RD7 O''Hallaron'!$I$2:$I$190,MATCH(Men_5[[#This Row],[Rider]],'RD7 O''Hallaron'!$F$2:$F$201,0)),"")</f>
        <v/>
      </c>
      <c r="I197" s="38" t="str">
        <f>_xlfn.IFNA(INDEX('RD8 Fox Creek'!$I$2:$I$204,MATCH(Men_5[[#This Row],[Rider]],'RD8 Fox Creek'!$F$2:$F$204,0)),"")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O''Halloran]])</f>
        <v>0</v>
      </c>
      <c r="N197" s="107">
        <f>2-COUNTBLANK(Men_5[[#This Row],[RD8 XCO Fox Creek]:[RD9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Fox Creek]:[RD9 XCO Willowie]])</f>
        <v>0</v>
      </c>
      <c r="R197" s="59">
        <f>Men_5[[#This Row],[Best 6 of 8 Overall]]+Men_5[[#This Row],[Best 3 of 4 XCM]]+Men_5[[#This Row],[Total of 2 XCO]]</f>
        <v>0</v>
      </c>
      <c r="S197" s="134" cm="1">
        <f t="array" ref="S197">68-SUM(IF(O197&gt;$O$18:$O$212,1/COUNTIF($O$18:$O$212,$O$18:$O$212)))</f>
        <v>68</v>
      </c>
    </row>
    <row r="198" spans="1:19" ht="16" hidden="1" x14ac:dyDescent="0.2">
      <c r="A198" s="103"/>
      <c r="B198" s="38" t="str">
        <f>_xlfn.IFNA(INDEX('RD1 Eagle'!$I$2:$I$154,MATCH(Men_5[[#This Row],[Rider]],'RD1 Eagle'!$F$2:$F$154,0)),"")</f>
        <v/>
      </c>
      <c r="C198" s="38" t="str">
        <f>_xlfn.IFNA(INDEX('RD2 Shepherds'!$I$2:$I$143,MATCH(Men_5[[#This Row],[Rider]],'RD2 Shepherds'!$F$2:$F$143,0)),"")</f>
        <v/>
      </c>
      <c r="D198" s="38" t="str">
        <f>_xlfn.IFNA(INDEX('RD3 XCO Sheps'!$I$2:$I$190,MATCH(Men_5[[#This Row],[Rider]],'RD3 XCO Sheps'!$F$2:$F$190,0)),"")</f>
        <v/>
      </c>
      <c r="E198" s="38" t="str">
        <f>_xlfn.IFNA(INDEX('RD4 Ohalloran'!$I$2:$I$180,MATCH(Men_5[[#This Row],[Rider]],'RD4 Ohalloran'!$F$2:$F$180,0)),"")</f>
        <v/>
      </c>
      <c r="F198" s="38" t="str">
        <f>_xlfn.IFNA(INDEX('RD5 Craigburn'!$I$2:$I$164,MATCH(Men_5[[#This Row],[Rider]],'RD5 Craigburn'!$F$2:$F$164,0)),"")</f>
        <v/>
      </c>
      <c r="G198" s="38" t="str">
        <f>_xlfn.IFNA(INDEX('RD6 Kinchina'!$I$2:$I$200,MATCH(Men_5[[#This Row],[Rider]],'RD6 Kinchina'!$F$2:$F$200,0)),"")</f>
        <v/>
      </c>
      <c r="H198" s="38" t="str">
        <f>_xlfn.IFNA(INDEX('RD7 O''Hallaron'!$I$2:$I$190,MATCH(Men_5[[#This Row],[Rider]],'RD7 O''Hallaron'!$F$2:$F$201,0)),"")</f>
        <v/>
      </c>
      <c r="I198" s="38" t="str">
        <f>_xlfn.IFNA(INDEX('RD8 Fox Creek'!$I$2:$I$204,MATCH(Men_5[[#This Row],[Rider]],'RD8 Fox Creek'!$F$2:$F$204,0)),"")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O''Halloran]])</f>
        <v>0</v>
      </c>
      <c r="N198" s="107">
        <f>2-COUNTBLANK(Men_5[[#This Row],[RD8 XCO Fox Creek]:[RD9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Fox Creek]:[RD9 XCO Willowie]])</f>
        <v>0</v>
      </c>
      <c r="R198" s="59">
        <f>Men_5[[#This Row],[Best 6 of 8 Overall]]+Men_5[[#This Row],[Best 3 of 4 XCM]]+Men_5[[#This Row],[Total of 2 XCO]]</f>
        <v>0</v>
      </c>
      <c r="S198" s="134" cm="1">
        <f t="array" ref="S198">68-SUM(IF(O198&gt;$O$18:$O$212,1/COUNTIF($O$18:$O$212,$O$18:$O$212)))</f>
        <v>68</v>
      </c>
    </row>
    <row r="199" spans="1:19" ht="16" hidden="1" x14ac:dyDescent="0.2">
      <c r="A199" s="103"/>
      <c r="B199" s="38" t="str">
        <f>_xlfn.IFNA(INDEX('RD1 Eagle'!$I$2:$I$154,MATCH(Men_5[[#This Row],[Rider]],'RD1 Eagle'!$F$2:$F$154,0)),"")</f>
        <v/>
      </c>
      <c r="C199" s="38" t="str">
        <f>_xlfn.IFNA(INDEX('RD2 Shepherds'!$I$2:$I$143,MATCH(Men_5[[#This Row],[Rider]],'RD2 Shepherds'!$F$2:$F$143,0)),"")</f>
        <v/>
      </c>
      <c r="D199" s="38" t="str">
        <f>_xlfn.IFNA(INDEX('RD3 XCO Sheps'!$I$2:$I$190,MATCH(Men_5[[#This Row],[Rider]],'RD3 XCO Sheps'!$F$2:$F$190,0)),"")</f>
        <v/>
      </c>
      <c r="E199" s="38" t="str">
        <f>_xlfn.IFNA(INDEX('RD4 Ohalloran'!$I$2:$I$180,MATCH(Men_5[[#This Row],[Rider]],'RD4 Ohalloran'!$F$2:$F$180,0)),"")</f>
        <v/>
      </c>
      <c r="F199" s="38" t="str">
        <f>_xlfn.IFNA(INDEX('RD5 Craigburn'!$I$2:$I$164,MATCH(Men_5[[#This Row],[Rider]],'RD5 Craigburn'!$F$2:$F$164,0)),"")</f>
        <v/>
      </c>
      <c r="G199" s="38" t="str">
        <f>_xlfn.IFNA(INDEX('RD6 Kinchina'!$I$2:$I$200,MATCH(Men_5[[#This Row],[Rider]],'RD6 Kinchina'!$F$2:$F$200,0)),"")</f>
        <v/>
      </c>
      <c r="H199" s="38" t="str">
        <f>_xlfn.IFNA(INDEX('RD7 O''Hallaron'!$I$2:$I$190,MATCH(Men_5[[#This Row],[Rider]],'RD7 O''Hallaron'!$F$2:$F$201,0)),"")</f>
        <v/>
      </c>
      <c r="I199" s="38" t="str">
        <f>_xlfn.IFNA(INDEX('RD8 Fox Creek'!$I$2:$I$204,MATCH(Men_5[[#This Row],[Rider]],'RD8 Fox Creek'!$F$2:$F$204,0)),"")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O''Halloran]])</f>
        <v>0</v>
      </c>
      <c r="N199" s="107">
        <f>2-COUNTBLANK(Men_5[[#This Row],[RD8 XCO Fox Creek]:[RD9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Fox Creek]:[RD9 XCO Willowie]])</f>
        <v>0</v>
      </c>
      <c r="R199" s="59">
        <f>Men_5[[#This Row],[Best 6 of 8 Overall]]+Men_5[[#This Row],[Best 3 of 4 XCM]]+Men_5[[#This Row],[Total of 2 XCO]]</f>
        <v>0</v>
      </c>
      <c r="S199" s="134" cm="1">
        <f t="array" ref="S199">68-SUM(IF(O199&gt;$O$18:$O$212,1/COUNTIF($O$18:$O$212,$O$18:$O$212)))</f>
        <v>68</v>
      </c>
    </row>
    <row r="200" spans="1:19" ht="16" hidden="1" x14ac:dyDescent="0.2">
      <c r="A200" s="103"/>
      <c r="B200" s="38" t="str">
        <f>_xlfn.IFNA(INDEX('RD1 Eagle'!$I$2:$I$154,MATCH(Men_5[[#This Row],[Rider]],'RD1 Eagle'!$F$2:$F$154,0)),"")</f>
        <v/>
      </c>
      <c r="C200" s="38" t="str">
        <f>_xlfn.IFNA(INDEX('RD2 Shepherds'!$I$2:$I$143,MATCH(Men_5[[#This Row],[Rider]],'RD2 Shepherds'!$F$2:$F$143,0)),"")</f>
        <v/>
      </c>
      <c r="D200" s="38" t="str">
        <f>_xlfn.IFNA(INDEX('RD3 XCO Sheps'!$I$2:$I$190,MATCH(Men_5[[#This Row],[Rider]],'RD3 XCO Sheps'!$F$2:$F$190,0)),"")</f>
        <v/>
      </c>
      <c r="E200" s="38" t="str">
        <f>_xlfn.IFNA(INDEX('RD4 Ohalloran'!$I$2:$I$180,MATCH(Men_5[[#This Row],[Rider]],'RD4 Ohalloran'!$F$2:$F$180,0)),"")</f>
        <v/>
      </c>
      <c r="F200" s="38" t="str">
        <f>_xlfn.IFNA(INDEX('RD5 Craigburn'!$I$2:$I$164,MATCH(Men_5[[#This Row],[Rider]],'RD5 Craigburn'!$F$2:$F$164,0)),"")</f>
        <v/>
      </c>
      <c r="G200" s="38" t="str">
        <f>_xlfn.IFNA(INDEX('RD6 Kinchina'!$I$2:$I$200,MATCH(Men_5[[#This Row],[Rider]],'RD6 Kinchina'!$F$2:$F$200,0)),"")</f>
        <v/>
      </c>
      <c r="H200" s="38" t="str">
        <f>_xlfn.IFNA(INDEX('RD7 O''Hallaron'!$I$2:$I$190,MATCH(Men_5[[#This Row],[Rider]],'RD7 O''Hallaron'!$F$2:$F$201,0)),"")</f>
        <v/>
      </c>
      <c r="I200" s="38" t="str">
        <f>_xlfn.IFNA(INDEX('RD8 Fox Creek'!$I$2:$I$204,MATCH(Men_5[[#This Row],[Rider]],'RD8 Fox Creek'!$F$2:$F$204,0)),"")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O''Halloran]])</f>
        <v>0</v>
      </c>
      <c r="N200" s="107">
        <f>2-COUNTBLANK(Men_5[[#This Row],[RD8 XCO Fox Creek]:[RD9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Fox Creek]:[RD9 XCO Willowie]])</f>
        <v>0</v>
      </c>
      <c r="R200" s="59">
        <f>Men_5[[#This Row],[Best 6 of 8 Overall]]+Men_5[[#This Row],[Best 3 of 4 XCM]]+Men_5[[#This Row],[Total of 2 XCO]]</f>
        <v>0</v>
      </c>
      <c r="S200" s="134" cm="1">
        <f t="array" ref="S200">68-SUM(IF(O200&gt;$O$18:$O$212,1/COUNTIF($O$18:$O$212,$O$18:$O$212)))</f>
        <v>68</v>
      </c>
    </row>
    <row r="201" spans="1:19" ht="16" hidden="1" x14ac:dyDescent="0.2">
      <c r="A201" s="103"/>
      <c r="B201" s="38" t="str">
        <f>_xlfn.IFNA(INDEX('RD1 Eagle'!$I$2:$I$154,MATCH(Men_5[[#This Row],[Rider]],'RD1 Eagle'!$F$2:$F$154,0)),"")</f>
        <v/>
      </c>
      <c r="C201" s="38" t="str">
        <f>_xlfn.IFNA(INDEX('RD2 Shepherds'!$I$2:$I$143,MATCH(Men_5[[#This Row],[Rider]],'RD2 Shepherds'!$F$2:$F$143,0)),"")</f>
        <v/>
      </c>
      <c r="D201" s="38" t="str">
        <f>_xlfn.IFNA(INDEX('RD3 XCO Sheps'!$I$2:$I$190,MATCH(Men_5[[#This Row],[Rider]],'RD3 XCO Sheps'!$F$2:$F$190,0)),"")</f>
        <v/>
      </c>
      <c r="E201" s="38" t="str">
        <f>_xlfn.IFNA(INDEX('RD4 Ohalloran'!$I$2:$I$180,MATCH(Men_5[[#This Row],[Rider]],'RD4 Ohalloran'!$F$2:$F$180,0)),"")</f>
        <v/>
      </c>
      <c r="F201" s="38" t="str">
        <f>_xlfn.IFNA(INDEX('RD5 Craigburn'!$I$2:$I$164,MATCH(Men_5[[#This Row],[Rider]],'RD5 Craigburn'!$F$2:$F$164,0)),"")</f>
        <v/>
      </c>
      <c r="G201" s="38" t="str">
        <f>_xlfn.IFNA(INDEX('RD6 Kinchina'!$I$2:$I$200,MATCH(Men_5[[#This Row],[Rider]],'RD6 Kinchina'!$F$2:$F$200,0)),"")</f>
        <v/>
      </c>
      <c r="H201" s="38" t="str">
        <f>_xlfn.IFNA(INDEX('RD7 O''Hallaron'!$I$2:$I$190,MATCH(Men_5[[#This Row],[Rider]],'RD7 O''Hallaron'!$F$2:$F$201,0)),"")</f>
        <v/>
      </c>
      <c r="I201" s="38" t="str">
        <f>_xlfn.IFNA(INDEX('RD8 Fox Creek'!$I$2:$I$204,MATCH(Men_5[[#This Row],[Rider]],'RD8 Fox Creek'!$F$2:$F$204,0)),"")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O''Halloran]])</f>
        <v>0</v>
      </c>
      <c r="N201" s="107">
        <f>2-COUNTBLANK(Men_5[[#This Row],[RD8 XCO Fox Creek]:[RD9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Fox Creek]:[RD9 XCO Willowie]])</f>
        <v>0</v>
      </c>
      <c r="R201" s="59">
        <f>Men_5[[#This Row],[Best 6 of 8 Overall]]+Men_5[[#This Row],[Best 3 of 4 XCM]]+Men_5[[#This Row],[Total of 2 XCO]]</f>
        <v>0</v>
      </c>
      <c r="S201" s="134" cm="1">
        <f t="array" ref="S201">68-SUM(IF(O201&gt;$O$18:$O$212,1/COUNTIF($O$18:$O$212,$O$18:$O$212)))</f>
        <v>68</v>
      </c>
    </row>
    <row r="202" spans="1:19" ht="16" hidden="1" x14ac:dyDescent="0.2">
      <c r="A202" s="103"/>
      <c r="B202" s="38" t="str">
        <f>_xlfn.IFNA(INDEX('RD1 Eagle'!$I$2:$I$154,MATCH(Men_5[[#This Row],[Rider]],'RD1 Eagle'!$F$2:$F$154,0)),"")</f>
        <v/>
      </c>
      <c r="C202" s="38" t="str">
        <f>_xlfn.IFNA(INDEX('RD2 Shepherds'!$I$2:$I$143,MATCH(Men_5[[#This Row],[Rider]],'RD2 Shepherds'!$F$2:$F$143,0)),"")</f>
        <v/>
      </c>
      <c r="D202" s="38" t="str">
        <f>_xlfn.IFNA(INDEX('RD3 XCO Sheps'!$I$2:$I$190,MATCH(Men_5[[#This Row],[Rider]],'RD3 XCO Sheps'!$F$2:$F$190,0)),"")</f>
        <v/>
      </c>
      <c r="E202" s="38" t="str">
        <f>_xlfn.IFNA(INDEX('RD4 Ohalloran'!$I$2:$I$180,MATCH(Men_5[[#This Row],[Rider]],'RD4 Ohalloran'!$F$2:$F$180,0)),"")</f>
        <v/>
      </c>
      <c r="F202" s="38" t="str">
        <f>_xlfn.IFNA(INDEX('RD5 Craigburn'!$I$2:$I$164,MATCH(Men_5[[#This Row],[Rider]],'RD5 Craigburn'!$F$2:$F$164,0)),"")</f>
        <v/>
      </c>
      <c r="G202" s="38" t="str">
        <f>_xlfn.IFNA(INDEX('RD6 Kinchina'!$I$2:$I$200,MATCH(Men_5[[#This Row],[Rider]],'RD6 Kinchina'!$F$2:$F$200,0)),"")</f>
        <v/>
      </c>
      <c r="H202" s="38" t="str">
        <f>_xlfn.IFNA(INDEX('RD7 O''Hallaron'!$I$2:$I$190,MATCH(Men_5[[#This Row],[Rider]],'RD7 O''Hallaron'!$F$2:$F$201,0)),"")</f>
        <v/>
      </c>
      <c r="I202" s="38" t="str">
        <f>_xlfn.IFNA(INDEX('RD8 Fox Creek'!$I$2:$I$204,MATCH(Men_5[[#This Row],[Rider]],'RD8 Fox Creek'!$F$2:$F$204,0)),"")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O''Halloran]])</f>
        <v>0</v>
      </c>
      <c r="N202" s="107">
        <f>2-COUNTBLANK(Men_5[[#This Row],[RD8 XCO Fox Creek]:[RD9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Fox Creek]:[RD9 XCO Willowie]])</f>
        <v>0</v>
      </c>
      <c r="R202" s="59">
        <f>Men_5[[#This Row],[Best 6 of 8 Overall]]+Men_5[[#This Row],[Best 3 of 4 XCM]]+Men_5[[#This Row],[Total of 2 XCO]]</f>
        <v>0</v>
      </c>
      <c r="S202" s="134" cm="1">
        <f t="array" ref="S202">68-SUM(IF(O202&gt;$O$18:$O$212,1/COUNTIF($O$18:$O$212,$O$18:$O$212)))</f>
        <v>68</v>
      </c>
    </row>
    <row r="203" spans="1:19" ht="16" hidden="1" x14ac:dyDescent="0.2">
      <c r="A203" s="103"/>
      <c r="B203" s="38" t="str">
        <f>_xlfn.IFNA(INDEX('RD1 Eagle'!$I$2:$I$154,MATCH(Men_5[[#This Row],[Rider]],'RD1 Eagle'!$F$2:$F$154,0)),"")</f>
        <v/>
      </c>
      <c r="C203" s="38" t="str">
        <f>_xlfn.IFNA(INDEX('RD2 Shepherds'!$I$2:$I$143,MATCH(Men_5[[#This Row],[Rider]],'RD2 Shepherds'!$F$2:$F$143,0)),"")</f>
        <v/>
      </c>
      <c r="D203" s="38" t="str">
        <f>_xlfn.IFNA(INDEX('RD3 XCO Sheps'!$I$2:$I$190,MATCH(Men_5[[#This Row],[Rider]],'RD3 XCO Sheps'!$F$2:$F$190,0)),"")</f>
        <v/>
      </c>
      <c r="E203" s="38" t="str">
        <f>_xlfn.IFNA(INDEX('RD4 Ohalloran'!$I$2:$I$180,MATCH(Men_5[[#This Row],[Rider]],'RD4 Ohalloran'!$F$2:$F$180,0)),"")</f>
        <v/>
      </c>
      <c r="F203" s="38" t="str">
        <f>_xlfn.IFNA(INDEX('RD5 Craigburn'!$I$2:$I$164,MATCH(Men_5[[#This Row],[Rider]],'RD5 Craigburn'!$F$2:$F$164,0)),"")</f>
        <v/>
      </c>
      <c r="G203" s="38" t="str">
        <f>_xlfn.IFNA(INDEX('RD6 Kinchina'!$I$2:$I$200,MATCH(Men_5[[#This Row],[Rider]],'RD6 Kinchina'!$F$2:$F$200,0)),"")</f>
        <v/>
      </c>
      <c r="H203" s="38" t="str">
        <f>_xlfn.IFNA(INDEX('RD7 O''Hallaron'!$I$2:$I$190,MATCH(Men_5[[#This Row],[Rider]],'RD7 O''Hallaron'!$F$2:$F$201,0)),"")</f>
        <v/>
      </c>
      <c r="I203" s="38" t="str">
        <f>_xlfn.IFNA(INDEX('RD8 Fox Creek'!$I$2:$I$204,MATCH(Men_5[[#This Row],[Rider]],'RD8 Fox Creek'!$F$2:$F$204,0)),"")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O''Halloran]])</f>
        <v>0</v>
      </c>
      <c r="N203" s="107">
        <f>2-COUNTBLANK(Men_5[[#This Row],[RD8 XCO Fox Creek]:[RD9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Fox Creek]:[RD9 XCO Willowie]])</f>
        <v>0</v>
      </c>
      <c r="R203" s="59">
        <f>Men_5[[#This Row],[Best 6 of 8 Overall]]+Men_5[[#This Row],[Best 3 of 4 XCM]]+Men_5[[#This Row],[Total of 2 XCO]]</f>
        <v>0</v>
      </c>
      <c r="S203" s="134" cm="1">
        <f t="array" ref="S203">68-SUM(IF(O203&gt;$O$18:$O$212,1/COUNTIF($O$18:$O$212,$O$18:$O$212)))</f>
        <v>68</v>
      </c>
    </row>
    <row r="204" spans="1:19" ht="16" hidden="1" x14ac:dyDescent="0.2">
      <c r="A204" s="103"/>
      <c r="B204" s="38" t="str">
        <f>_xlfn.IFNA(INDEX('RD1 Eagle'!$I$2:$I$154,MATCH(Men_5[[#This Row],[Rider]],'RD1 Eagle'!$F$2:$F$154,0)),"")</f>
        <v/>
      </c>
      <c r="C204" s="38" t="str">
        <f>_xlfn.IFNA(INDEX('RD2 Shepherds'!$I$2:$I$143,MATCH(Men_5[[#This Row],[Rider]],'RD2 Shepherds'!$F$2:$F$143,0)),"")</f>
        <v/>
      </c>
      <c r="D204" s="38" t="str">
        <f>_xlfn.IFNA(INDEX('RD3 XCO Sheps'!$I$2:$I$190,MATCH(Men_5[[#This Row],[Rider]],'RD3 XCO Sheps'!$F$2:$F$190,0)),"")</f>
        <v/>
      </c>
      <c r="E204" s="38" t="str">
        <f>_xlfn.IFNA(INDEX('RD4 Ohalloran'!$I$2:$I$180,MATCH(Men_5[[#This Row],[Rider]],'RD4 Ohalloran'!$F$2:$F$180,0)),"")</f>
        <v/>
      </c>
      <c r="F204" s="38" t="str">
        <f>_xlfn.IFNA(INDEX('RD5 Craigburn'!$I$2:$I$164,MATCH(Men_5[[#This Row],[Rider]],'RD5 Craigburn'!$F$2:$F$164,0)),"")</f>
        <v/>
      </c>
      <c r="G204" s="38" t="str">
        <f>_xlfn.IFNA(INDEX('RD6 Kinchina'!$I$2:$I$200,MATCH(Men_5[[#This Row],[Rider]],'RD6 Kinchina'!$F$2:$F$200,0)),"")</f>
        <v/>
      </c>
      <c r="H204" s="38" t="str">
        <f>_xlfn.IFNA(INDEX('RD7 O''Hallaron'!$I$2:$I$190,MATCH(Men_5[[#This Row],[Rider]],'RD7 O''Hallaron'!$F$2:$F$201,0)),"")</f>
        <v/>
      </c>
      <c r="I204" s="38" t="str">
        <f>_xlfn.IFNA(INDEX('RD8 Fox Creek'!$I$2:$I$204,MATCH(Men_5[[#This Row],[Rider]],'RD8 Fox Creek'!$F$2:$F$204,0)),"")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O''Halloran]])</f>
        <v>0</v>
      </c>
      <c r="N204" s="107">
        <f>2-COUNTBLANK(Men_5[[#This Row],[RD8 XCO Fox Creek]:[RD9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Fox Creek]:[RD9 XCO Willowie]])</f>
        <v>0</v>
      </c>
      <c r="R204" s="59">
        <f>Men_5[[#This Row],[Best 6 of 8 Overall]]+Men_5[[#This Row],[Best 3 of 4 XCM]]+Men_5[[#This Row],[Total of 2 XCO]]</f>
        <v>0</v>
      </c>
      <c r="S204" s="134" cm="1">
        <f t="array" ref="S204">68-SUM(IF(O204&gt;$O$18:$O$212,1/COUNTIF($O$18:$O$212,$O$18:$O$212)))</f>
        <v>68</v>
      </c>
    </row>
    <row r="205" spans="1:19" ht="16" hidden="1" x14ac:dyDescent="0.2">
      <c r="A205" s="103"/>
      <c r="B205" s="38" t="str">
        <f>_xlfn.IFNA(INDEX('RD1 Eagle'!$I$2:$I$154,MATCH(Men_5[[#This Row],[Rider]],'RD1 Eagle'!$F$2:$F$154,0)),"")</f>
        <v/>
      </c>
      <c r="C205" s="38" t="str">
        <f>_xlfn.IFNA(INDEX('RD2 Shepherds'!$I$2:$I$143,MATCH(Men_5[[#This Row],[Rider]],'RD2 Shepherds'!$F$2:$F$143,0)),"")</f>
        <v/>
      </c>
      <c r="D205" s="38" t="str">
        <f>_xlfn.IFNA(INDEX('RD3 XCO Sheps'!$I$2:$I$190,MATCH(Men_5[[#This Row],[Rider]],'RD3 XCO Sheps'!$F$2:$F$190,0)),"")</f>
        <v/>
      </c>
      <c r="E205" s="38" t="str">
        <f>_xlfn.IFNA(INDEX('RD4 Ohalloran'!$I$2:$I$180,MATCH(Men_5[[#This Row],[Rider]],'RD4 Ohalloran'!$F$2:$F$180,0)),"")</f>
        <v/>
      </c>
      <c r="F205" s="38" t="str">
        <f>_xlfn.IFNA(INDEX('RD5 Craigburn'!$I$2:$I$164,MATCH(Men_5[[#This Row],[Rider]],'RD5 Craigburn'!$F$2:$F$164,0)),"")</f>
        <v/>
      </c>
      <c r="G205" s="38" t="str">
        <f>_xlfn.IFNA(INDEX('RD6 Kinchina'!$I$2:$I$200,MATCH(Men_5[[#This Row],[Rider]],'RD6 Kinchina'!$F$2:$F$200,0)),"")</f>
        <v/>
      </c>
      <c r="H205" s="38" t="str">
        <f>_xlfn.IFNA(INDEX('RD7 O''Hallaron'!$I$2:$I$190,MATCH(Men_5[[#This Row],[Rider]],'RD7 O''Hallaron'!$F$2:$F$201,0)),"")</f>
        <v/>
      </c>
      <c r="I205" s="38" t="str">
        <f>_xlfn.IFNA(INDEX('RD8 Fox Creek'!$I$2:$I$204,MATCH(Men_5[[#This Row],[Rider]],'RD8 Fox Creek'!$F$2:$F$204,0)),"")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O''Halloran]])</f>
        <v>0</v>
      </c>
      <c r="N205" s="107">
        <f>2-COUNTBLANK(Men_5[[#This Row],[RD8 XCO Fox Creek]:[RD9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Fox Creek]:[RD9 XCO Willowie]])</f>
        <v>0</v>
      </c>
      <c r="R205" s="59">
        <f>Men_5[[#This Row],[Best 6 of 8 Overall]]+Men_5[[#This Row],[Best 3 of 4 XCM]]+Men_5[[#This Row],[Total of 2 XCO]]</f>
        <v>0</v>
      </c>
      <c r="S205" s="134" cm="1">
        <f t="array" ref="S205">68-SUM(IF(O205&gt;$O$18:$O$212,1/COUNTIF($O$18:$O$212,$O$18:$O$212)))</f>
        <v>68</v>
      </c>
    </row>
    <row r="206" spans="1:19" ht="16" hidden="1" x14ac:dyDescent="0.2">
      <c r="A206" s="103"/>
      <c r="B206" s="38" t="str">
        <f>_xlfn.IFNA(INDEX('RD1 Eagle'!$I$2:$I$154,MATCH(Men_5[[#This Row],[Rider]],'RD1 Eagle'!$F$2:$F$154,0)),"")</f>
        <v/>
      </c>
      <c r="C206" s="38" t="str">
        <f>_xlfn.IFNA(INDEX('RD2 Shepherds'!$I$2:$I$143,MATCH(Men_5[[#This Row],[Rider]],'RD2 Shepherds'!$F$2:$F$143,0)),"")</f>
        <v/>
      </c>
      <c r="D206" s="38" t="str">
        <f>_xlfn.IFNA(INDEX('RD3 XCO Sheps'!$I$2:$I$190,MATCH(Men_5[[#This Row],[Rider]],'RD3 XCO Sheps'!$F$2:$F$190,0)),"")</f>
        <v/>
      </c>
      <c r="E206" s="38" t="str">
        <f>_xlfn.IFNA(INDEX('RD4 Ohalloran'!$I$2:$I$180,MATCH(Men_5[[#This Row],[Rider]],'RD4 Ohalloran'!$F$2:$F$180,0)),"")</f>
        <v/>
      </c>
      <c r="F206" s="38" t="str">
        <f>_xlfn.IFNA(INDEX('RD5 Craigburn'!$I$2:$I$164,MATCH(Men_5[[#This Row],[Rider]],'RD5 Craigburn'!$F$2:$F$164,0)),"")</f>
        <v/>
      </c>
      <c r="G206" s="38" t="str">
        <f>_xlfn.IFNA(INDEX('RD6 Kinchina'!$I$2:$I$200,MATCH(Men_5[[#This Row],[Rider]],'RD6 Kinchina'!$F$2:$F$200,0)),"")</f>
        <v/>
      </c>
      <c r="H206" s="38" t="str">
        <f>_xlfn.IFNA(INDEX('RD7 O''Hallaron'!$I$2:$I$190,MATCH(Men_5[[#This Row],[Rider]],'RD7 O''Hallaron'!$F$2:$F$201,0)),"")</f>
        <v/>
      </c>
      <c r="I206" s="38" t="str">
        <f>_xlfn.IFNA(INDEX('RD8 Fox Creek'!$I$2:$I$204,MATCH(Men_5[[#This Row],[Rider]],'RD8 Fox Creek'!$F$2:$F$204,0)),"")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O''Halloran]])</f>
        <v>0</v>
      </c>
      <c r="N206" s="107">
        <f>2-COUNTBLANK(Men_5[[#This Row],[RD8 XCO Fox Creek]:[RD9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Fox Creek]:[RD9 XCO Willowie]])</f>
        <v>0</v>
      </c>
      <c r="R206" s="59">
        <f>Men_5[[#This Row],[Best 6 of 8 Overall]]+Men_5[[#This Row],[Best 3 of 4 XCM]]+Men_5[[#This Row],[Total of 2 XCO]]</f>
        <v>0</v>
      </c>
      <c r="S206" s="134" cm="1">
        <f t="array" ref="S206">68-SUM(IF(O206&gt;$O$18:$O$212,1/COUNTIF($O$18:$O$212,$O$18:$O$212)))</f>
        <v>68</v>
      </c>
    </row>
    <row r="207" spans="1:19" ht="16" hidden="1" x14ac:dyDescent="0.2">
      <c r="A207" s="103"/>
      <c r="B207" s="38" t="str">
        <f>_xlfn.IFNA(INDEX('RD1 Eagle'!$I$2:$I$154,MATCH(Men_5[[#This Row],[Rider]],'RD1 Eagle'!$F$2:$F$154,0)),"")</f>
        <v/>
      </c>
      <c r="C207" s="38" t="str">
        <f>_xlfn.IFNA(INDEX('RD2 Shepherds'!$I$2:$I$143,MATCH(Men_5[[#This Row],[Rider]],'RD2 Shepherds'!$F$2:$F$143,0)),"")</f>
        <v/>
      </c>
      <c r="D207" s="38" t="str">
        <f>_xlfn.IFNA(INDEX('RD3 XCO Sheps'!$I$2:$I$190,MATCH(Men_5[[#This Row],[Rider]],'RD3 XCO Sheps'!$F$2:$F$190,0)),"")</f>
        <v/>
      </c>
      <c r="E207" s="38" t="str">
        <f>_xlfn.IFNA(INDEX('RD4 Ohalloran'!$I$2:$I$180,MATCH(Men_5[[#This Row],[Rider]],'RD4 Ohalloran'!$F$2:$F$180,0)),"")</f>
        <v/>
      </c>
      <c r="F207" s="38" t="str">
        <f>_xlfn.IFNA(INDEX('RD5 Craigburn'!$I$2:$I$164,MATCH(Men_5[[#This Row],[Rider]],'RD5 Craigburn'!$F$2:$F$164,0)),"")</f>
        <v/>
      </c>
      <c r="G207" s="38" t="str">
        <f>_xlfn.IFNA(INDEX('RD6 Kinchina'!$I$2:$I$200,MATCH(Men_5[[#This Row],[Rider]],'RD6 Kinchina'!$F$2:$F$200,0)),"")</f>
        <v/>
      </c>
      <c r="H207" s="38" t="str">
        <f>_xlfn.IFNA(INDEX('RD7 O''Hallaron'!$I$2:$I$190,MATCH(Men_5[[#This Row],[Rider]],'RD7 O''Hallaron'!$F$2:$F$201,0)),"")</f>
        <v/>
      </c>
      <c r="I207" s="38" t="str">
        <f>_xlfn.IFNA(INDEX('RD8 Fox Creek'!$I$2:$I$204,MATCH(Men_5[[#This Row],[Rider]],'RD8 Fox Creek'!$F$2:$F$204,0)),"")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O''Halloran]])</f>
        <v>0</v>
      </c>
      <c r="N207" s="107">
        <f>2-COUNTBLANK(Men_5[[#This Row],[RD8 XCO Fox Creek]:[RD9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Fox Creek]:[RD9 XCO Willowie]])</f>
        <v>0</v>
      </c>
      <c r="R207" s="59">
        <f>Men_5[[#This Row],[Best 6 of 8 Overall]]+Men_5[[#This Row],[Best 3 of 4 XCM]]+Men_5[[#This Row],[Total of 2 XCO]]</f>
        <v>0</v>
      </c>
      <c r="S207" s="134" cm="1">
        <f t="array" ref="S207">68-SUM(IF(O207&gt;$O$18:$O$212,1/COUNTIF($O$18:$O$212,$O$18:$O$212)))</f>
        <v>68</v>
      </c>
    </row>
    <row r="208" spans="1:19" ht="16" hidden="1" x14ac:dyDescent="0.2">
      <c r="A208" s="103"/>
      <c r="B208" s="38" t="str">
        <f>_xlfn.IFNA(INDEX('RD1 Eagle'!$I$2:$I$154,MATCH(Men_5[[#This Row],[Rider]],'RD1 Eagle'!$F$2:$F$154,0)),"")</f>
        <v/>
      </c>
      <c r="C208" s="38" t="str">
        <f>_xlfn.IFNA(INDEX('RD2 Shepherds'!$I$2:$I$143,MATCH(Men_5[[#This Row],[Rider]],'RD2 Shepherds'!$F$2:$F$143,0)),"")</f>
        <v/>
      </c>
      <c r="D208" s="38" t="str">
        <f>_xlfn.IFNA(INDEX('RD3 XCO Sheps'!$I$2:$I$190,MATCH(Men_5[[#This Row],[Rider]],'RD3 XCO Sheps'!$F$2:$F$190,0)),"")</f>
        <v/>
      </c>
      <c r="E208" s="38" t="str">
        <f>_xlfn.IFNA(INDEX('RD4 Ohalloran'!$I$2:$I$180,MATCH(Men_5[[#This Row],[Rider]],'RD4 Ohalloran'!$F$2:$F$180,0)),"")</f>
        <v/>
      </c>
      <c r="F208" s="38" t="str">
        <f>_xlfn.IFNA(INDEX('RD5 Craigburn'!$I$2:$I$164,MATCH(Men_5[[#This Row],[Rider]],'RD5 Craigburn'!$F$2:$F$164,0)),"")</f>
        <v/>
      </c>
      <c r="G208" s="38" t="str">
        <f>_xlfn.IFNA(INDEX('RD6 Kinchina'!$I$2:$I$200,MATCH(Men_5[[#This Row],[Rider]],'RD6 Kinchina'!$F$2:$F$200,0)),"")</f>
        <v/>
      </c>
      <c r="H208" s="38" t="str">
        <f>_xlfn.IFNA(INDEX('RD7 O''Hallaron'!$I$2:$I$190,MATCH(Men_5[[#This Row],[Rider]],'RD7 O''Hallaron'!$F$2:$F$201,0)),"")</f>
        <v/>
      </c>
      <c r="I208" s="38" t="str">
        <f>_xlfn.IFNA(INDEX('RD8 Fox Creek'!$I$2:$I$204,MATCH(Men_5[[#This Row],[Rider]],'RD8 Fox Creek'!$F$2:$F$204,0)),"")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O''Halloran]])</f>
        <v>0</v>
      </c>
      <c r="N208" s="107">
        <f>2-COUNTBLANK(Men_5[[#This Row],[RD8 XCO Fox Creek]:[RD9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Fox Creek]:[RD9 XCO Willowie]])</f>
        <v>0</v>
      </c>
      <c r="R208" s="59">
        <f>Men_5[[#This Row],[Best 6 of 8 Overall]]+Men_5[[#This Row],[Best 3 of 4 XCM]]+Men_5[[#This Row],[Total of 2 XCO]]</f>
        <v>0</v>
      </c>
      <c r="S208" s="134" cm="1">
        <f t="array" ref="S208">68-SUM(IF(O208&gt;$O$18:$O$212,1/COUNTIF($O$18:$O$212,$O$18:$O$212)))</f>
        <v>68</v>
      </c>
    </row>
    <row r="209" spans="1:19" ht="16" hidden="1" x14ac:dyDescent="0.2">
      <c r="A209" s="103"/>
      <c r="B209" s="38" t="str">
        <f>_xlfn.IFNA(INDEX('RD1 Eagle'!$I$2:$I$154,MATCH(Men_5[[#This Row],[Rider]],'RD1 Eagle'!$F$2:$F$154,0)),"")</f>
        <v/>
      </c>
      <c r="C209" s="38" t="str">
        <f>_xlfn.IFNA(INDEX('RD2 Shepherds'!$I$2:$I$143,MATCH(Men_5[[#This Row],[Rider]],'RD2 Shepherds'!$F$2:$F$143,0)),"")</f>
        <v/>
      </c>
      <c r="D209" s="38" t="str">
        <f>_xlfn.IFNA(INDEX('RD3 XCO Sheps'!$I$2:$I$190,MATCH(Men_5[[#This Row],[Rider]],'RD3 XCO Sheps'!$F$2:$F$190,0)),"")</f>
        <v/>
      </c>
      <c r="E209" s="38" t="str">
        <f>_xlfn.IFNA(INDEX('RD4 Ohalloran'!$I$2:$I$180,MATCH(Men_5[[#This Row],[Rider]],'RD4 Ohalloran'!$F$2:$F$180,0)),"")</f>
        <v/>
      </c>
      <c r="F209" s="38" t="str">
        <f>_xlfn.IFNA(INDEX('RD5 Craigburn'!$I$2:$I$164,MATCH(Men_5[[#This Row],[Rider]],'RD5 Craigburn'!$F$2:$F$164,0)),"")</f>
        <v/>
      </c>
      <c r="G209" s="38" t="str">
        <f>_xlfn.IFNA(INDEX('RD6 Kinchina'!$I$2:$I$200,MATCH(Men_5[[#This Row],[Rider]],'RD6 Kinchina'!$F$2:$F$200,0)),"")</f>
        <v/>
      </c>
      <c r="H209" s="38" t="str">
        <f>_xlfn.IFNA(INDEX('RD7 O''Hallaron'!$I$2:$I$190,MATCH(Men_5[[#This Row],[Rider]],'RD7 O''Hallaron'!$F$2:$F$201,0)),"")</f>
        <v/>
      </c>
      <c r="I209" s="38" t="str">
        <f>_xlfn.IFNA(INDEX('RD8 Fox Creek'!$I$2:$I$204,MATCH(Men_5[[#This Row],[Rider]],'RD8 Fox Creek'!$F$2:$F$204,0)),"")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O''Halloran]])</f>
        <v>0</v>
      </c>
      <c r="N209" s="107">
        <f>2-COUNTBLANK(Men_5[[#This Row],[RD8 XCO Fox Creek]:[RD9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Fox Creek]:[RD9 XCO Willowie]])</f>
        <v>0</v>
      </c>
      <c r="R209" s="59">
        <f>Men_5[[#This Row],[Best 6 of 8 Overall]]+Men_5[[#This Row],[Best 3 of 4 XCM]]+Men_5[[#This Row],[Total of 2 XCO]]</f>
        <v>0</v>
      </c>
      <c r="S209" s="134" cm="1">
        <f t="array" ref="S209">68-SUM(IF(O209&gt;$O$18:$O$212,1/COUNTIF($O$18:$O$212,$O$18:$O$212)))</f>
        <v>68</v>
      </c>
    </row>
    <row r="210" spans="1:19" ht="16" hidden="1" x14ac:dyDescent="0.2">
      <c r="A210" s="103"/>
      <c r="B210" s="38" t="str">
        <f>_xlfn.IFNA(INDEX('RD1 Eagle'!$I$2:$I$154,MATCH(Men_5[[#This Row],[Rider]],'RD1 Eagle'!$F$2:$F$154,0)),"")</f>
        <v/>
      </c>
      <c r="C210" s="38" t="str">
        <f>_xlfn.IFNA(INDEX('RD2 Shepherds'!$I$2:$I$143,MATCH(Men_5[[#This Row],[Rider]],'RD2 Shepherds'!$F$2:$F$143,0)),"")</f>
        <v/>
      </c>
      <c r="D210" s="38" t="str">
        <f>_xlfn.IFNA(INDEX('RD3 XCO Sheps'!$I$2:$I$190,MATCH(Men_5[[#This Row],[Rider]],'RD3 XCO Sheps'!$F$2:$F$190,0)),"")</f>
        <v/>
      </c>
      <c r="E210" s="38" t="str">
        <f>_xlfn.IFNA(INDEX('RD4 Ohalloran'!$I$2:$I$180,MATCH(Men_5[[#This Row],[Rider]],'RD4 Ohalloran'!$F$2:$F$180,0)),"")</f>
        <v/>
      </c>
      <c r="F210" s="38" t="str">
        <f>_xlfn.IFNA(INDEX('RD5 Craigburn'!$I$2:$I$164,MATCH(Men_5[[#This Row],[Rider]],'RD5 Craigburn'!$F$2:$F$164,0)),"")</f>
        <v/>
      </c>
      <c r="G210" s="38" t="str">
        <f>_xlfn.IFNA(INDEX('RD6 Kinchina'!$I$2:$I$200,MATCH(Men_5[[#This Row],[Rider]],'RD6 Kinchina'!$F$2:$F$200,0)),"")</f>
        <v/>
      </c>
      <c r="H210" s="38" t="str">
        <f>_xlfn.IFNA(INDEX('RD7 O''Hallaron'!$I$2:$I$190,MATCH(Men_5[[#This Row],[Rider]],'RD7 O''Hallaron'!$F$2:$F$201,0)),"")</f>
        <v/>
      </c>
      <c r="I210" s="38" t="str">
        <f>_xlfn.IFNA(INDEX('RD8 Fox Creek'!$I$2:$I$204,MATCH(Men_5[[#This Row],[Rider]],'RD8 Fox Creek'!$F$2:$F$204,0)),"")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O''Halloran]])</f>
        <v>0</v>
      </c>
      <c r="N210" s="60">
        <f>2-COUNTBLANK(Men_5[[#This Row],[RD8 XCO Fox Creek]:[RD9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Fox Creek]:[RD9 XCO Willowie]])</f>
        <v>0</v>
      </c>
      <c r="R210" s="59">
        <f>Men_5[[#This Row],[Best 6 of 8 Overall]]+Men_5[[#This Row],[Best 3 of 4 XCM]]+Men_5[[#This Row],[Total of 2 XCO]]</f>
        <v>0</v>
      </c>
      <c r="S210" s="134" cm="1">
        <f t="array" ref="S210">68-SUM(IF(O210&gt;$O$18:$O$212,1/COUNTIF($O$18:$O$212,$O$18:$O$212)))</f>
        <v>68</v>
      </c>
    </row>
    <row r="211" spans="1:19" ht="16" hidden="1" x14ac:dyDescent="0.2">
      <c r="A211" s="103"/>
      <c r="B211" s="38" t="str">
        <f>_xlfn.IFNA(INDEX('RD1 Eagle'!$I$2:$I$154,MATCH(Men_5[[#This Row],[Rider]],'RD1 Eagle'!$F$2:$F$154,0)),"")</f>
        <v/>
      </c>
      <c r="C211" s="38" t="str">
        <f>_xlfn.IFNA(INDEX('RD2 Shepherds'!$I$2:$I$143,MATCH(Men_5[[#This Row],[Rider]],'RD2 Shepherds'!$F$2:$F$143,0)),"")</f>
        <v/>
      </c>
      <c r="D211" s="38" t="str">
        <f>_xlfn.IFNA(INDEX('RD3 XCO Sheps'!$I$2:$I$190,MATCH(Men_5[[#This Row],[Rider]],'RD3 XCO Sheps'!$F$2:$F$190,0)),"")</f>
        <v/>
      </c>
      <c r="E211" s="38" t="str">
        <f>_xlfn.IFNA(INDEX('RD4 Ohalloran'!$I$2:$I$180,MATCH(Men_5[[#This Row],[Rider]],'RD4 Ohalloran'!$F$2:$F$180,0)),"")</f>
        <v/>
      </c>
      <c r="F211" s="38" t="str">
        <f>_xlfn.IFNA(INDEX('RD5 Craigburn'!$I$2:$I$164,MATCH(Men_5[[#This Row],[Rider]],'RD5 Craigburn'!$F$2:$F$164,0)),"")</f>
        <v/>
      </c>
      <c r="G211" s="38" t="str">
        <f>_xlfn.IFNA(INDEX('RD6 Kinchina'!$I$2:$I$200,MATCH(Men_5[[#This Row],[Rider]],'RD6 Kinchina'!$F$2:$F$200,0)),"")</f>
        <v/>
      </c>
      <c r="H211" s="38" t="str">
        <f>_xlfn.IFNA(INDEX('RD7 O''Hallaron'!$I$2:$I$190,MATCH(Men_5[[#This Row],[Rider]],'RD7 O''Hallaron'!$F$2:$F$201,0)),"")</f>
        <v/>
      </c>
      <c r="I211" s="38" t="str">
        <f>_xlfn.IFNA(INDEX('RD8 Fox Creek'!$I$2:$I$204,MATCH(Men_5[[#This Row],[Rider]],'RD8 Fox Creek'!$F$2:$F$204,0)),"")</f>
        <v/>
      </c>
      <c r="J211" s="38" t="str">
        <f>_xlfn.IFNA(INDEX('RD9 XCM Melrose W'!$I$2:$I$194,MATCH(Men_5[[#This Row],[Rider]],'RD9 XCM Melrose W'!$F$2:$F$194,0)),"")</f>
        <v/>
      </c>
      <c r="K211" s="38">
        <f>9-COUNTBLANK(Men_5[[#This Row],[RD1 XCC Eagle]:[RD9 XCO Willowie]])</f>
        <v>0</v>
      </c>
      <c r="L211" s="59">
        <f>3-COUNTBLANK(Men_5[[#This Row],[RD1 XCC Eagle]:[RD3 XCO Sheps]])</f>
        <v>0</v>
      </c>
      <c r="M211" s="59">
        <f>4-COUNTBLANK(Men_5[[#This Row],[RD4 XCO Ohal]:[RD7 XCO O''Halloran]])</f>
        <v>0</v>
      </c>
      <c r="N211" s="107">
        <f>2-COUNTBLANK(Men_5[[#This Row],[RD8 XCO Fox Creek]:[RD9 XCO Willowie]])</f>
        <v>0</v>
      </c>
      <c r="O211" s="38" cm="1">
        <f t="array" ref="O211">IF(Men_5[[#This Row],[Number of Rounds]]&lt;=6,SUM(IF(ISNA(B211:J211),0,B211:J211)),SUM(LARGE(B211:J211,{1,2,3,4,5,6})))</f>
        <v>0</v>
      </c>
      <c r="P211" s="38" cm="1">
        <f t="array" ref="P211">IF(Men_5[[#This Row],[Number of Rounds XCM]]&lt;=3,SUM(IF(ISNA(E211:H211),0,E211:H211)),SUM(LARGE(E211:H211,{1,2,3})))</f>
        <v>0</v>
      </c>
      <c r="Q211" s="38">
        <f>SUM(Men_5[[#This Row],[RD8 XCO Fox Creek]:[RD9 XCO Willowie]])</f>
        <v>0</v>
      </c>
      <c r="R211" s="59">
        <f>Men_5[[#This Row],[Best 6 of 8 Overall]]+Men_5[[#This Row],[Best 3 of 4 XCM]]+Men_5[[#This Row],[Total of 2 XCO]]</f>
        <v>0</v>
      </c>
      <c r="S211" s="134" cm="1">
        <f t="array" ref="S211">68-SUM(IF(O211&gt;$O$18:$O$212,1/COUNTIF($O$18:$O$212,$O$18:$O$212)))</f>
        <v>68</v>
      </c>
    </row>
    <row r="212" spans="1:19" ht="16" hidden="1" x14ac:dyDescent="0.2">
      <c r="A212" s="103"/>
      <c r="B212" s="38" t="str">
        <f>_xlfn.IFNA(INDEX('RD1 Eagle'!$I$2:$I$154,MATCH(Men_5[[#This Row],[Rider]],'RD1 Eagle'!$F$2:$F$154,0)),"")</f>
        <v/>
      </c>
      <c r="C212" s="38" t="str">
        <f>_xlfn.IFNA(INDEX('RD2 Shepherds'!$I$2:$I$143,MATCH(Men_5[[#This Row],[Rider]],'RD2 Shepherds'!$F$2:$F$143,0)),"")</f>
        <v/>
      </c>
      <c r="D212" s="38" t="str">
        <f>_xlfn.IFNA(INDEX('RD3 XCO Sheps'!$I$2:$I$190,MATCH(Men_5[[#This Row],[Rider]],'RD3 XCO Sheps'!$F$2:$F$190,0)),"")</f>
        <v/>
      </c>
      <c r="E212" s="38" t="str">
        <f>_xlfn.IFNA(INDEX('RD4 Ohalloran'!$I$2:$I$180,MATCH(Men_5[[#This Row],[Rider]],'RD4 Ohalloran'!$F$2:$F$180,0)),"")</f>
        <v/>
      </c>
      <c r="F212" s="38" t="str">
        <f>_xlfn.IFNA(INDEX('RD5 Craigburn'!$I$2:$I$164,MATCH(Men_5[[#This Row],[Rider]],'RD5 Craigburn'!$F$2:$F$164,0)),"")</f>
        <v/>
      </c>
      <c r="G212" s="38" t="str">
        <f>_xlfn.IFNA(INDEX('RD6 Kinchina'!$I$2:$I$200,MATCH(Men_5[[#This Row],[Rider]],'RD6 Kinchina'!$F$2:$F$200,0)),"")</f>
        <v/>
      </c>
      <c r="H212" s="38" t="str">
        <f>_xlfn.IFNA(INDEX('RD7 O''Hallaron'!$I$2:$I$190,MATCH(Men_5[[#This Row],[Rider]],'RD7 O''Hallaron'!$F$2:$F$201,0)),"")</f>
        <v/>
      </c>
      <c r="I212" s="38" t="str">
        <f>_xlfn.IFNA(INDEX('RD8 Fox Creek'!$I$2:$I$204,MATCH(Men_5[[#This Row],[Rider]],'RD8 Fox Creek'!$F$2:$F$204,0)),"")</f>
        <v/>
      </c>
      <c r="J212" s="38" t="str">
        <f>_xlfn.IFNA(INDEX('RD9 XCM Melrose W'!$I$2:$I$194,MATCH(Men_5[[#This Row],[Rider]],'RD9 XCM Melrose W'!$F$2:$F$194,0)),"")</f>
        <v/>
      </c>
      <c r="K212" s="38">
        <f>9-COUNTBLANK(Men_5[[#This Row],[RD1 XCC Eagle]:[RD9 XCO Willowie]])</f>
        <v>0</v>
      </c>
      <c r="L212" s="59">
        <f>3-COUNTBLANK(Men_5[[#This Row],[RD1 XCC Eagle]:[RD3 XCO Sheps]])</f>
        <v>0</v>
      </c>
      <c r="M212" s="59">
        <f>4-COUNTBLANK(Men_5[[#This Row],[RD4 XCO Ohal]:[RD7 XCO O''Halloran]])</f>
        <v>0</v>
      </c>
      <c r="N212" s="107">
        <f>2-COUNTBLANK(Men_5[[#This Row],[RD8 XCO Fox Creek]:[RD9 XCO Willowie]])</f>
        <v>0</v>
      </c>
      <c r="O212" s="38" cm="1">
        <f t="array" ref="O212">IF(Men_5[[#This Row],[Number of Rounds]]&lt;=6,SUM(IF(ISNA(B212:J212),0,B212:J212)),SUM(LARGE(B212:J212,{1,2,3,4,5,6})))</f>
        <v>0</v>
      </c>
      <c r="P212" s="38" cm="1">
        <f t="array" ref="P212">IF(Men_5[[#This Row],[Number of Rounds XCM]]&lt;=3,SUM(IF(ISNA(E212:H212),0,E212:H212)),SUM(LARGE(E212:H212,{1,2,3})))</f>
        <v>0</v>
      </c>
      <c r="Q212" s="38">
        <f>SUM(Men_5[[#This Row],[RD8 XCO Fox Creek]:[RD9 XCO Willowie]])</f>
        <v>0</v>
      </c>
      <c r="R212" s="59">
        <f>Men_5[[#This Row],[Best 6 of 8 Overall]]+Men_5[[#This Row],[Best 3 of 4 XCM]]+Men_5[[#This Row],[Total of 2 XCO]]</f>
        <v>0</v>
      </c>
      <c r="S212" s="134" cm="1">
        <f t="array" ref="S212">68-SUM(IF(O212&gt;$O$18:$O$212,1/COUNTIF($O$18:$O$212,$O$18:$O$212)))</f>
        <v>68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6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AF62"/>
  <sheetViews>
    <sheetView topLeftCell="A36" zoomScale="106" workbookViewId="0">
      <selection activeCell="B68" sqref="B68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5" bestFit="1" customWidth="1"/>
    <col min="9" max="9" width="7.1640625" style="62" bestFit="1" customWidth="1"/>
    <col min="10" max="16" width="8.83203125" style="62"/>
    <col min="17" max="17" width="12.6640625" style="62" bestFit="1" customWidth="1"/>
    <col min="18" max="18" width="13" style="62" bestFit="1" customWidth="1"/>
    <col min="19" max="19" width="18.5" style="62" bestFit="1" customWidth="1"/>
    <col min="20" max="20" width="17.33203125" style="62" bestFit="1" customWidth="1"/>
    <col min="21" max="23" width="17.33203125" style="62" customWidth="1"/>
    <col min="24" max="24" width="9.1640625" style="62" bestFit="1" customWidth="1"/>
    <col min="25" max="26" width="9.1640625" style="62" customWidth="1"/>
    <col min="27" max="28" width="8.83203125" style="62"/>
    <col min="29" max="29" width="13.5" style="62" bestFit="1" customWidth="1"/>
    <col min="30" max="16384" width="8.83203125" style="62"/>
  </cols>
  <sheetData>
    <row r="1" spans="1:3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4" t="s">
        <v>44</v>
      </c>
      <c r="I1" s="61" t="s">
        <v>18</v>
      </c>
    </row>
    <row r="2" spans="1:32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44" t="s">
        <v>181</v>
      </c>
      <c r="G2" s="116">
        <v>14</v>
      </c>
      <c r="H2" s="142">
        <v>1.1944444444444444</v>
      </c>
      <c r="I2" s="55">
        <f>VLOOKUP(C2,'Points Table'!A$3:L$43,IF(A2="A Grade / Juniors",4,IF(A2="B Grade",6,IF(A2="C Grade",8,IF(A2="D Grade",10,12)))))</f>
        <v>500</v>
      </c>
      <c r="Q2" s="128"/>
      <c r="R2" s="67"/>
      <c r="S2" s="145"/>
      <c r="T2" s="67"/>
      <c r="U2" s="67"/>
      <c r="V2" s="67"/>
      <c r="W2" s="67"/>
      <c r="X2" s="143"/>
      <c r="Y2" s="143"/>
      <c r="Z2" s="143"/>
      <c r="AA2" s="142"/>
      <c r="AB2" s="142"/>
      <c r="AC2" s="142"/>
      <c r="AD2" s="142"/>
    </row>
    <row r="3" spans="1:32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44" t="s">
        <v>193</v>
      </c>
      <c r="G3" s="116">
        <v>14</v>
      </c>
      <c r="H3" s="142">
        <v>1.2277777777777779</v>
      </c>
      <c r="I3" s="55">
        <f>VLOOKUP(C3,'Points Table'!A$3:L$43,IF(A3="A Grade / Juniors",4,IF(A3="B Grade",6,IF(A3="C Grade",8,IF(A3="D Grade",10,12)))))</f>
        <v>450</v>
      </c>
      <c r="Q3" s="128"/>
      <c r="R3" s="67"/>
      <c r="S3" s="136"/>
      <c r="T3" s="67"/>
      <c r="U3" s="67"/>
      <c r="V3" s="67"/>
      <c r="W3" s="67"/>
      <c r="X3" s="143"/>
      <c r="Y3" s="143"/>
      <c r="Z3" s="143"/>
      <c r="AA3" s="142"/>
      <c r="AB3" s="142"/>
      <c r="AC3" s="142"/>
      <c r="AD3" s="142"/>
      <c r="AF3" s="146"/>
    </row>
    <row r="4" spans="1:32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44" t="s">
        <v>200</v>
      </c>
      <c r="G4" s="116">
        <v>14</v>
      </c>
      <c r="H4" s="142">
        <v>1.2416666666666667</v>
      </c>
      <c r="I4" s="55">
        <f>VLOOKUP(C4,'Points Table'!A$3:L$43,IF(A4="A Grade / Juniors",4,IF(A4="B Grade",6,IF(A4="C Grade",8,IF(A4="D Grade",10,12)))))</f>
        <v>420</v>
      </c>
      <c r="Q4" s="128"/>
      <c r="R4" s="67"/>
      <c r="S4" s="136"/>
      <c r="T4" s="67"/>
      <c r="U4" s="67"/>
      <c r="V4" s="67"/>
      <c r="W4" s="67"/>
      <c r="X4" s="143"/>
      <c r="Y4" s="143"/>
      <c r="Z4" s="143"/>
      <c r="AA4" s="142"/>
      <c r="AB4" s="142"/>
      <c r="AC4" s="142"/>
      <c r="AD4" s="142"/>
      <c r="AF4" s="146"/>
    </row>
    <row r="5" spans="1:32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44" t="s">
        <v>157</v>
      </c>
      <c r="G5" s="116">
        <v>14</v>
      </c>
      <c r="H5" s="142">
        <v>1.2680555555555555</v>
      </c>
      <c r="I5" s="55">
        <f>VLOOKUP(C5,'Points Table'!A$3:L$43,IF(A5="A Grade / Juniors",4,IF(A5="B Grade",6,IF(A5="C Grade",8,IF(A5="D Grade",10,12)))))</f>
        <v>400</v>
      </c>
      <c r="Q5" s="128"/>
      <c r="R5" s="67"/>
      <c r="S5" s="136"/>
      <c r="T5" s="67"/>
      <c r="U5" s="67"/>
      <c r="V5" s="67"/>
      <c r="W5" s="67"/>
      <c r="X5" s="143"/>
      <c r="Y5" s="143"/>
      <c r="Z5" s="143"/>
      <c r="AA5" s="142"/>
      <c r="AB5" s="142"/>
      <c r="AC5" s="142"/>
      <c r="AD5" s="142"/>
      <c r="AF5" s="146"/>
    </row>
    <row r="6" spans="1:32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44" t="s">
        <v>158</v>
      </c>
      <c r="G6" s="116">
        <v>13</v>
      </c>
      <c r="H6" s="142">
        <v>1.2048611111111112</v>
      </c>
      <c r="I6" s="55">
        <f>VLOOKUP(C6,'Points Table'!A$3:L$43,IF(A6="A Grade / Juniors",4,IF(A6="B Grade",6,IF(A6="C Grade",8,IF(A6="D Grade",10,12)))))</f>
        <v>390</v>
      </c>
      <c r="Q6" s="128"/>
      <c r="R6" s="67"/>
      <c r="S6" s="136"/>
      <c r="T6" s="67"/>
      <c r="U6" s="67"/>
      <c r="V6" s="67"/>
      <c r="W6" s="67"/>
      <c r="X6" s="143"/>
      <c r="Y6" s="143"/>
      <c r="Z6" s="143"/>
      <c r="AA6" s="142"/>
      <c r="AB6" s="142"/>
      <c r="AC6" s="142"/>
      <c r="AD6" s="142"/>
      <c r="AF6" s="146"/>
    </row>
    <row r="7" spans="1:32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44" t="s">
        <v>156</v>
      </c>
      <c r="G7" s="116">
        <v>13</v>
      </c>
      <c r="H7" s="142">
        <v>1.2097222222222221</v>
      </c>
      <c r="I7" s="55">
        <f>VLOOKUP(C7,'Points Table'!A$3:L$43,IF(A7="A Grade / Juniors",4,IF(A7="B Grade",6,IF(A7="C Grade",8,IF(A7="D Grade",10,12)))))</f>
        <v>380</v>
      </c>
      <c r="Q7" s="128"/>
      <c r="R7" s="67"/>
      <c r="S7" s="136"/>
      <c r="T7" s="67"/>
      <c r="U7" s="67"/>
      <c r="V7" s="67"/>
      <c r="W7" s="67"/>
      <c r="X7" s="143"/>
      <c r="Y7" s="143"/>
      <c r="Z7" s="143"/>
      <c r="AA7" s="142"/>
      <c r="AB7" s="142"/>
      <c r="AC7" s="142"/>
      <c r="AD7" s="142"/>
      <c r="AF7" s="146"/>
    </row>
    <row r="8" spans="1:32" ht="17" x14ac:dyDescent="0.2">
      <c r="A8" s="65" t="s">
        <v>19</v>
      </c>
      <c r="B8" s="65" t="s">
        <v>35</v>
      </c>
      <c r="C8" s="62">
        <v>1</v>
      </c>
      <c r="D8" s="66" t="s">
        <v>60</v>
      </c>
      <c r="E8" s="62" t="s">
        <v>61</v>
      </c>
      <c r="F8" s="145" t="s">
        <v>201</v>
      </c>
      <c r="G8" s="116">
        <v>11</v>
      </c>
      <c r="H8" s="142">
        <v>1.0590277777777777</v>
      </c>
      <c r="I8" s="55">
        <f>VLOOKUP(C8,'Points Table'!A$3:L$43,IF(A8="A Grade / Juniors",4,IF(A8="B Grade",6,IF(A8="C Grade",8,IF(A8="D Grade",10,12)))))</f>
        <v>375</v>
      </c>
      <c r="Q8" s="128"/>
      <c r="R8" s="67"/>
      <c r="S8" s="136"/>
      <c r="T8" s="67"/>
      <c r="U8" s="67"/>
      <c r="V8" s="67"/>
      <c r="W8" s="67"/>
      <c r="X8" s="143"/>
      <c r="Y8" s="143"/>
      <c r="Z8" s="143"/>
      <c r="AD8" s="142"/>
      <c r="AF8" s="146"/>
    </row>
    <row r="9" spans="1:32" ht="17" x14ac:dyDescent="0.2">
      <c r="A9" s="65" t="s">
        <v>19</v>
      </c>
      <c r="B9" s="65" t="s">
        <v>35</v>
      </c>
      <c r="C9" s="62">
        <v>2</v>
      </c>
      <c r="D9" s="66" t="s">
        <v>62</v>
      </c>
      <c r="E9" s="62" t="s">
        <v>61</v>
      </c>
      <c r="F9" s="145" t="s">
        <v>194</v>
      </c>
      <c r="G9" s="116">
        <v>11</v>
      </c>
      <c r="H9" s="142">
        <v>1.0715277777777779</v>
      </c>
      <c r="I9" s="55">
        <f>VLOOKUP(C9,'Points Table'!A$3:L$43,IF(A9="A Grade / Juniors",4,IF(A9="B Grade",6,IF(A9="C Grade",8,IF(A9="D Grade",10,12)))))</f>
        <v>337.5</v>
      </c>
      <c r="Q9" s="128"/>
      <c r="R9" s="67"/>
      <c r="S9" s="136"/>
      <c r="T9" s="67"/>
      <c r="U9" s="67"/>
      <c r="V9" s="67"/>
      <c r="W9" s="67"/>
      <c r="X9" s="143"/>
      <c r="Y9" s="143"/>
      <c r="Z9" s="143"/>
      <c r="AD9" s="142"/>
      <c r="AF9" s="146"/>
    </row>
    <row r="10" spans="1:32" ht="17" x14ac:dyDescent="0.2">
      <c r="A10" s="65" t="s">
        <v>19</v>
      </c>
      <c r="B10" s="65" t="s">
        <v>35</v>
      </c>
      <c r="C10" s="62">
        <v>3</v>
      </c>
      <c r="D10" s="66" t="s">
        <v>63</v>
      </c>
      <c r="E10" s="62" t="s">
        <v>61</v>
      </c>
      <c r="F10" s="145" t="s">
        <v>162</v>
      </c>
      <c r="G10" s="116">
        <v>11</v>
      </c>
      <c r="H10" s="142">
        <v>1.0805555555555555</v>
      </c>
      <c r="I10" s="55">
        <f>VLOOKUP(C10,'Points Table'!A$3:L$43,IF(A10="A Grade / Juniors",4,IF(A10="B Grade",6,IF(A10="C Grade",8,IF(A10="D Grade",10,12)))))</f>
        <v>315</v>
      </c>
      <c r="Q10" s="128"/>
      <c r="R10" s="67"/>
      <c r="S10" s="136"/>
      <c r="T10" s="67"/>
      <c r="U10" s="67"/>
      <c r="V10" s="67"/>
      <c r="W10" s="67"/>
      <c r="X10" s="143"/>
      <c r="Y10" s="143"/>
      <c r="Z10" s="143"/>
      <c r="AD10" s="142"/>
      <c r="AF10" s="146"/>
    </row>
    <row r="11" spans="1:32" ht="17" x14ac:dyDescent="0.2">
      <c r="A11" s="65" t="s">
        <v>19</v>
      </c>
      <c r="B11" s="65" t="s">
        <v>35</v>
      </c>
      <c r="C11" s="62">
        <v>4</v>
      </c>
      <c r="D11" s="66" t="s">
        <v>64</v>
      </c>
      <c r="E11" s="62" t="s">
        <v>61</v>
      </c>
      <c r="F11" s="145" t="s">
        <v>161</v>
      </c>
      <c r="G11" s="116">
        <v>10</v>
      </c>
      <c r="H11" s="142">
        <v>1.0395833333333333</v>
      </c>
      <c r="I11" s="55">
        <f>VLOOKUP(C11,'Points Table'!A$3:L$43,IF(A11="A Grade / Juniors",4,IF(A11="B Grade",6,IF(A11="C Grade",8,IF(A11="D Grade",10,12)))))</f>
        <v>300</v>
      </c>
      <c r="Q11" s="128"/>
      <c r="S11" s="136"/>
      <c r="X11" s="143"/>
      <c r="Y11" s="143"/>
      <c r="Z11" s="143"/>
      <c r="AD11" s="142"/>
      <c r="AF11" s="146"/>
    </row>
    <row r="12" spans="1:32" ht="17" x14ac:dyDescent="0.2">
      <c r="A12" s="65" t="s">
        <v>19</v>
      </c>
      <c r="B12" s="65" t="s">
        <v>35</v>
      </c>
      <c r="C12" s="62">
        <v>5</v>
      </c>
      <c r="D12" s="66" t="s">
        <v>65</v>
      </c>
      <c r="E12" s="62" t="s">
        <v>61</v>
      </c>
      <c r="F12" s="145" t="s">
        <v>160</v>
      </c>
      <c r="G12" s="116">
        <v>10</v>
      </c>
      <c r="H12" s="142">
        <v>1.0493055555555555</v>
      </c>
      <c r="I12" s="55">
        <f>VLOOKUP(C12,'Points Table'!A$3:L$43,IF(A12="A Grade / Juniors",4,IF(A12="B Grade",6,IF(A12="C Grade",8,IF(A12="D Grade",10,12)))))</f>
        <v>292.5</v>
      </c>
      <c r="Q12" s="128"/>
    </row>
    <row r="13" spans="1:32" ht="17" x14ac:dyDescent="0.2">
      <c r="A13" s="65" t="s">
        <v>19</v>
      </c>
      <c r="B13" s="65" t="s">
        <v>35</v>
      </c>
      <c r="C13" s="62">
        <v>6</v>
      </c>
      <c r="D13" s="66" t="s">
        <v>66</v>
      </c>
      <c r="E13" s="62" t="s">
        <v>61</v>
      </c>
      <c r="F13" s="145" t="s">
        <v>183</v>
      </c>
      <c r="G13" s="116">
        <v>10</v>
      </c>
      <c r="H13" s="142">
        <v>1.0930555555555554</v>
      </c>
      <c r="I13" s="55">
        <f>VLOOKUP(C13,'Points Table'!A$3:L$43,IF(A13="A Grade / Juniors",4,IF(A13="B Grade",6,IF(A13="C Grade",8,IF(A13="D Grade",10,12)))))</f>
        <v>285</v>
      </c>
      <c r="Q13" s="128"/>
    </row>
    <row r="14" spans="1:32" ht="17" x14ac:dyDescent="0.2">
      <c r="A14" s="65" t="s">
        <v>19</v>
      </c>
      <c r="B14" s="65" t="s">
        <v>35</v>
      </c>
      <c r="C14" s="62">
        <v>7</v>
      </c>
      <c r="D14" s="66" t="s">
        <v>67</v>
      </c>
      <c r="E14" s="62" t="s">
        <v>61</v>
      </c>
      <c r="F14" s="145" t="s">
        <v>159</v>
      </c>
      <c r="G14" s="116">
        <v>6</v>
      </c>
      <c r="H14" s="142">
        <v>0.5854166666666667</v>
      </c>
      <c r="I14" s="55">
        <f>VLOOKUP(C14,'Points Table'!A$3:L$43,IF(A14="A Grade / Juniors",4,IF(A14="B Grade",6,IF(A14="C Grade",8,IF(A14="D Grade",10,12)))))</f>
        <v>277.5</v>
      </c>
      <c r="Q14" s="128"/>
    </row>
    <row r="15" spans="1:32" ht="17" customHeight="1" x14ac:dyDescent="0.2">
      <c r="A15" s="65" t="s">
        <v>21</v>
      </c>
      <c r="B15" s="65" t="s">
        <v>36</v>
      </c>
      <c r="C15" s="62">
        <v>1</v>
      </c>
      <c r="D15" s="66" t="s">
        <v>60</v>
      </c>
      <c r="E15" s="62" t="s">
        <v>61</v>
      </c>
      <c r="F15" s="142" t="s">
        <v>202</v>
      </c>
      <c r="G15" s="116">
        <v>9</v>
      </c>
      <c r="H15" s="142">
        <v>0.85138888888888886</v>
      </c>
      <c r="I15" s="55">
        <f>VLOOKUP(C15,'Points Table'!A$3:L$43,IF(A15="A Grade / Juniors",4,IF(A15="B Grade",6,IF(A15="C Grade",8,IF(A15="D Grade",10,12)))))</f>
        <v>350</v>
      </c>
      <c r="Q15" s="128"/>
    </row>
    <row r="16" spans="1:32" ht="17" customHeight="1" x14ac:dyDescent="0.2">
      <c r="A16" s="65" t="s">
        <v>21</v>
      </c>
      <c r="B16" s="65" t="s">
        <v>36</v>
      </c>
      <c r="C16" s="62">
        <v>2</v>
      </c>
      <c r="D16" s="66" t="s">
        <v>62</v>
      </c>
      <c r="E16" s="62" t="s">
        <v>61</v>
      </c>
      <c r="F16" s="142" t="s">
        <v>164</v>
      </c>
      <c r="G16" s="116">
        <v>8</v>
      </c>
      <c r="H16" s="142">
        <v>0.86875000000000002</v>
      </c>
      <c r="I16" s="55">
        <f>VLOOKUP(C16,'Points Table'!A$3:L$43,IF(A16="A Grade / Juniors",4,IF(A16="B Grade",6,IF(A16="C Grade",8,IF(A16="D Grade",10,12)))))</f>
        <v>315</v>
      </c>
      <c r="Q16" s="128"/>
    </row>
    <row r="17" spans="1:31" ht="17" customHeight="1" x14ac:dyDescent="0.2">
      <c r="A17" s="65" t="s">
        <v>21</v>
      </c>
      <c r="B17" s="65" t="s">
        <v>36</v>
      </c>
      <c r="C17" s="62">
        <v>3</v>
      </c>
      <c r="D17" s="66" t="s">
        <v>63</v>
      </c>
      <c r="E17" s="62" t="s">
        <v>61</v>
      </c>
      <c r="F17" s="142" t="s">
        <v>163</v>
      </c>
      <c r="G17" s="116">
        <v>8</v>
      </c>
      <c r="H17" s="142">
        <v>0.8833333333333333</v>
      </c>
      <c r="I17" s="55">
        <f>VLOOKUP(C17,'Points Table'!A$3:L$43,IF(A17="A Grade / Juniors",4,IF(A17="B Grade",6,IF(A17="C Grade",8,IF(A17="D Grade",10,12)))))</f>
        <v>294</v>
      </c>
      <c r="Q17" s="128"/>
      <c r="R17" s="67"/>
      <c r="S17" s="67"/>
      <c r="T17" s="67"/>
      <c r="U17" s="67"/>
      <c r="V17" s="67"/>
      <c r="W17" s="67"/>
      <c r="X17" s="116"/>
      <c r="Y17" s="116"/>
      <c r="Z17" s="116"/>
    </row>
    <row r="18" spans="1:31" ht="17" customHeight="1" x14ac:dyDescent="0.2">
      <c r="A18" s="65" t="s">
        <v>21</v>
      </c>
      <c r="B18" s="65" t="s">
        <v>36</v>
      </c>
      <c r="C18" s="62">
        <v>4</v>
      </c>
      <c r="D18" s="66" t="s">
        <v>64</v>
      </c>
      <c r="E18" s="62" t="s">
        <v>61</v>
      </c>
      <c r="F18" s="142" t="s">
        <v>192</v>
      </c>
      <c r="G18" s="116">
        <v>8</v>
      </c>
      <c r="H18" s="142">
        <v>0.88402777777777775</v>
      </c>
      <c r="I18" s="55">
        <f>VLOOKUP(C18,'Points Table'!A$3:L$43,IF(A18="A Grade / Juniors",4,IF(A18="B Grade",6,IF(A18="C Grade",8,IF(A18="D Grade",10,12)))))</f>
        <v>280</v>
      </c>
      <c r="Q18" s="128"/>
      <c r="R18" s="67"/>
      <c r="S18" s="67"/>
      <c r="T18" s="67"/>
      <c r="U18" s="67"/>
      <c r="V18" s="67"/>
      <c r="W18" s="67"/>
      <c r="X18" s="116"/>
      <c r="Y18" s="116"/>
      <c r="Z18" s="116"/>
    </row>
    <row r="19" spans="1:31" ht="17" customHeight="1" x14ac:dyDescent="0.2">
      <c r="A19" s="65" t="s">
        <v>21</v>
      </c>
      <c r="B19" s="65" t="s">
        <v>36</v>
      </c>
      <c r="C19" s="62">
        <v>5</v>
      </c>
      <c r="D19" s="66" t="s">
        <v>65</v>
      </c>
      <c r="E19" s="62" t="s">
        <v>61</v>
      </c>
      <c r="F19" s="142" t="s">
        <v>203</v>
      </c>
      <c r="G19" s="116">
        <v>8</v>
      </c>
      <c r="H19" s="142">
        <v>0.90069444444444446</v>
      </c>
      <c r="I19" s="55">
        <f>VLOOKUP(C19,'Points Table'!A$3:L$43,IF(A19="A Grade / Juniors",4,IF(A19="B Grade",6,IF(A19="C Grade",8,IF(A19="D Grade",10,12)))))</f>
        <v>273</v>
      </c>
      <c r="Q19" s="128"/>
      <c r="R19" s="67"/>
      <c r="S19" s="67"/>
      <c r="T19" s="67"/>
      <c r="U19" s="67"/>
      <c r="V19" s="67"/>
      <c r="W19" s="67"/>
      <c r="X19" s="116"/>
      <c r="Y19" s="116"/>
      <c r="Z19" s="116"/>
    </row>
    <row r="20" spans="1:31" ht="17" customHeight="1" x14ac:dyDescent="0.2">
      <c r="A20" s="65" t="s">
        <v>21</v>
      </c>
      <c r="B20" s="65" t="s">
        <v>36</v>
      </c>
      <c r="C20" s="62">
        <v>6</v>
      </c>
      <c r="D20" s="66" t="s">
        <v>66</v>
      </c>
      <c r="E20" s="62" t="s">
        <v>61</v>
      </c>
      <c r="F20" s="142" t="s">
        <v>182</v>
      </c>
      <c r="G20" s="116">
        <v>8</v>
      </c>
      <c r="H20" s="142">
        <v>0.90347222222222223</v>
      </c>
      <c r="I20" s="55">
        <f>VLOOKUP(C20,'Points Table'!A$3:L$43,IF(A20="A Grade / Juniors",4,IF(A20="B Grade",6,IF(A20="C Grade",8,IF(A20="D Grade",10,12)))))</f>
        <v>266</v>
      </c>
    </row>
    <row r="21" spans="1:31" ht="17" customHeight="1" x14ac:dyDescent="0.2">
      <c r="A21" s="65" t="s">
        <v>21</v>
      </c>
      <c r="B21" s="65" t="s">
        <v>36</v>
      </c>
      <c r="C21" s="62">
        <v>7</v>
      </c>
      <c r="D21" s="66" t="s">
        <v>67</v>
      </c>
      <c r="E21" s="62" t="s">
        <v>61</v>
      </c>
      <c r="F21" s="142" t="s">
        <v>165</v>
      </c>
      <c r="G21" s="116">
        <v>7</v>
      </c>
      <c r="H21" s="142">
        <v>0.88055555555555554</v>
      </c>
      <c r="I21" s="55">
        <f>VLOOKUP(C21,'Points Table'!A$3:L$43,IF(A21="A Grade / Juniors",4,IF(A21="B Grade",6,IF(A21="C Grade",8,IF(A21="D Grade",10,12)))))</f>
        <v>259</v>
      </c>
    </row>
    <row r="22" spans="1:31" ht="17" customHeight="1" x14ac:dyDescent="0.2">
      <c r="A22" s="65" t="s">
        <v>21</v>
      </c>
      <c r="B22" s="65" t="s">
        <v>36</v>
      </c>
      <c r="C22" s="62">
        <v>8</v>
      </c>
      <c r="D22" s="66" t="s">
        <v>68</v>
      </c>
      <c r="E22" s="62" t="s">
        <v>61</v>
      </c>
      <c r="F22" s="142" t="s">
        <v>204</v>
      </c>
      <c r="G22" s="116">
        <v>7</v>
      </c>
      <c r="H22" s="142">
        <v>0.88263888888888886</v>
      </c>
      <c r="I22" s="55">
        <f>VLOOKUP(C22,'Points Table'!A$3:L$43,IF(A22="A Grade / Juniors",4,IF(A22="B Grade",6,IF(A22="C Grade",8,IF(A22="D Grade",10,12)))))</f>
        <v>251.99999999999997</v>
      </c>
    </row>
    <row r="23" spans="1:31" ht="17" customHeight="1" x14ac:dyDescent="0.2">
      <c r="A23" s="65" t="s">
        <v>21</v>
      </c>
      <c r="B23" s="65" t="s">
        <v>36</v>
      </c>
      <c r="C23" s="62">
        <v>9</v>
      </c>
      <c r="D23" s="66" t="s">
        <v>69</v>
      </c>
      <c r="E23" s="62" t="s">
        <v>61</v>
      </c>
      <c r="F23" s="142" t="s">
        <v>205</v>
      </c>
      <c r="G23" s="116">
        <v>6</v>
      </c>
      <c r="H23" s="142">
        <v>0.87083333333333335</v>
      </c>
      <c r="I23" s="55">
        <f>VLOOKUP(C23,'Points Table'!A$3:L$43,IF(A23="A Grade / Juniors",4,IF(A23="B Grade",6,IF(A23="C Grade",8,IF(A23="D Grade",10,12)))))</f>
        <v>244.99999999999997</v>
      </c>
      <c r="Q23" s="113"/>
      <c r="R23" s="67"/>
      <c r="S23" s="136"/>
      <c r="T23" s="67"/>
      <c r="U23" s="67"/>
      <c r="V23" s="67"/>
      <c r="W23" s="67"/>
      <c r="X23" s="90"/>
      <c r="Y23" s="90"/>
      <c r="Z23" s="90"/>
      <c r="AA23" s="90"/>
      <c r="AB23" s="90"/>
      <c r="AC23" s="90"/>
      <c r="AD23" s="90"/>
      <c r="AE23" s="146"/>
    </row>
    <row r="24" spans="1:31" ht="17" customHeight="1" x14ac:dyDescent="0.2">
      <c r="A24" s="65" t="s">
        <v>23</v>
      </c>
      <c r="B24" s="65" t="s">
        <v>37</v>
      </c>
      <c r="C24" s="62">
        <v>1</v>
      </c>
      <c r="D24" s="66" t="s">
        <v>60</v>
      </c>
      <c r="E24" s="62" t="s">
        <v>61</v>
      </c>
      <c r="F24" s="90" t="s">
        <v>206</v>
      </c>
      <c r="G24" s="116">
        <v>7</v>
      </c>
      <c r="H24" s="142">
        <v>0.75624999999999998</v>
      </c>
      <c r="I24" s="55">
        <f>VLOOKUP(C24,'Points Table'!A$3:L$43,IF(A24="A Grade / Juniors",4,IF(A24="B Grade",6,IF(A24="C Grade",8,IF(A24="D Grade",10,12)))))</f>
        <v>300</v>
      </c>
      <c r="R24" s="129"/>
      <c r="S24" s="136"/>
      <c r="T24" s="129"/>
      <c r="U24" s="129"/>
      <c r="V24" s="129"/>
      <c r="W24" s="129"/>
      <c r="AC24" s="90"/>
      <c r="AE24" s="146"/>
    </row>
    <row r="25" spans="1:31" ht="17" customHeight="1" x14ac:dyDescent="0.2">
      <c r="A25" s="65" t="s">
        <v>23</v>
      </c>
      <c r="B25" s="65" t="s">
        <v>37</v>
      </c>
      <c r="C25" s="62">
        <v>2</v>
      </c>
      <c r="D25" s="66" t="s">
        <v>62</v>
      </c>
      <c r="E25" s="62" t="s">
        <v>61</v>
      </c>
      <c r="F25" s="90" t="s">
        <v>207</v>
      </c>
      <c r="G25" s="116">
        <v>7</v>
      </c>
      <c r="H25" s="142">
        <v>0.76944444444444449</v>
      </c>
      <c r="I25" s="55">
        <f>VLOOKUP(C25,'Points Table'!A$3:L$43,IF(A25="A Grade / Juniors",4,IF(A25="B Grade",6,IF(A25="C Grade",8,IF(A25="D Grade",10,12)))))</f>
        <v>270</v>
      </c>
      <c r="S25" s="136"/>
      <c r="AA25" s="147"/>
      <c r="AB25" s="147"/>
      <c r="AC25" s="90"/>
      <c r="AD25" s="146"/>
      <c r="AE25" s="146"/>
    </row>
    <row r="26" spans="1:31" ht="17" customHeight="1" x14ac:dyDescent="0.2">
      <c r="A26" s="65" t="s">
        <v>23</v>
      </c>
      <c r="B26" s="65" t="s">
        <v>37</v>
      </c>
      <c r="C26" s="62">
        <v>3</v>
      </c>
      <c r="D26" s="66" t="s">
        <v>63</v>
      </c>
      <c r="E26" s="62" t="s">
        <v>61</v>
      </c>
      <c r="F26" s="90" t="s">
        <v>195</v>
      </c>
      <c r="G26" s="116">
        <v>7</v>
      </c>
      <c r="H26" s="142">
        <v>0.78055555555555556</v>
      </c>
      <c r="I26" s="55">
        <f>VLOOKUP(C26,'Points Table'!A$3:L$43,IF(A26="A Grade / Juniors",4,IF(A26="B Grade",6,IF(A26="C Grade",8,IF(A26="D Grade",10,12)))))</f>
        <v>252</v>
      </c>
      <c r="S26" s="136"/>
      <c r="AB26" s="147"/>
      <c r="AC26" s="90"/>
      <c r="AD26" s="146"/>
      <c r="AE26" s="146"/>
    </row>
    <row r="27" spans="1:31" ht="17" customHeight="1" x14ac:dyDescent="0.2">
      <c r="A27" s="65" t="s">
        <v>23</v>
      </c>
      <c r="B27" s="65" t="s">
        <v>37</v>
      </c>
      <c r="C27" s="62">
        <v>4</v>
      </c>
      <c r="D27" s="66" t="s">
        <v>64</v>
      </c>
      <c r="E27" s="62" t="s">
        <v>61</v>
      </c>
      <c r="F27" s="90" t="s">
        <v>166</v>
      </c>
      <c r="G27" s="116">
        <v>7</v>
      </c>
      <c r="H27" s="142">
        <v>0.81944444444444442</v>
      </c>
      <c r="I27" s="55">
        <f>VLOOKUP(C27,'Points Table'!A$3:L$43,IF(A27="A Grade / Juniors",4,IF(A27="B Grade",6,IF(A27="C Grade",8,IF(A27="D Grade",10,12)))))</f>
        <v>240</v>
      </c>
      <c r="S27" s="136"/>
      <c r="AB27" s="147"/>
      <c r="AC27" s="90"/>
      <c r="AD27" s="146"/>
      <c r="AE27" s="146"/>
    </row>
    <row r="28" spans="1:31" ht="17" customHeight="1" x14ac:dyDescent="0.2">
      <c r="A28" s="65" t="s">
        <v>23</v>
      </c>
      <c r="B28" s="65" t="s">
        <v>37</v>
      </c>
      <c r="C28" s="62">
        <v>5</v>
      </c>
      <c r="D28" s="66" t="s">
        <v>65</v>
      </c>
      <c r="E28" s="62" t="s">
        <v>61</v>
      </c>
      <c r="F28" s="90" t="s">
        <v>208</v>
      </c>
      <c r="G28" s="116">
        <v>7</v>
      </c>
      <c r="H28" s="142">
        <v>0.8256944444444444</v>
      </c>
      <c r="I28" s="55">
        <f>VLOOKUP(C28,'Points Table'!A$3:L$43,IF(A28="A Grade / Juniors",4,IF(A28="B Grade",6,IF(A28="C Grade",8,IF(A28="D Grade",10,12)))))</f>
        <v>234</v>
      </c>
      <c r="S28" s="136"/>
      <c r="AB28" s="147"/>
      <c r="AC28" s="90"/>
      <c r="AD28" s="146"/>
      <c r="AE28" s="146"/>
    </row>
    <row r="29" spans="1:31" ht="17" customHeight="1" x14ac:dyDescent="0.2">
      <c r="A29" s="65" t="s">
        <v>23</v>
      </c>
      <c r="B29" s="65" t="s">
        <v>37</v>
      </c>
      <c r="C29" s="62">
        <v>6</v>
      </c>
      <c r="D29" s="66" t="s">
        <v>66</v>
      </c>
      <c r="E29" s="62" t="s">
        <v>61</v>
      </c>
      <c r="F29" s="90" t="s">
        <v>184</v>
      </c>
      <c r="G29" s="116">
        <v>6</v>
      </c>
      <c r="H29" s="142">
        <v>0.75347222222222221</v>
      </c>
      <c r="I29" s="55">
        <f>VLOOKUP(C29,'Points Table'!A$3:L$43,IF(A29="A Grade / Juniors",4,IF(A29="B Grade",6,IF(A29="C Grade",8,IF(A29="D Grade",10,12)))))</f>
        <v>228</v>
      </c>
      <c r="S29" s="136"/>
      <c r="AB29" s="147"/>
      <c r="AC29" s="90"/>
      <c r="AD29" s="146"/>
      <c r="AE29" s="146"/>
    </row>
    <row r="30" spans="1:31" ht="17" customHeight="1" x14ac:dyDescent="0.2">
      <c r="A30" s="65" t="s">
        <v>23</v>
      </c>
      <c r="B30" s="65" t="s">
        <v>37</v>
      </c>
      <c r="C30" s="62">
        <v>7</v>
      </c>
      <c r="D30" s="66" t="s">
        <v>67</v>
      </c>
      <c r="E30" s="62" t="s">
        <v>61</v>
      </c>
      <c r="F30" s="90" t="s">
        <v>209</v>
      </c>
      <c r="G30" s="116">
        <v>6</v>
      </c>
      <c r="H30" s="142">
        <v>0.78541666666666665</v>
      </c>
      <c r="I30" s="55">
        <f>VLOOKUP(C30,'Points Table'!A$3:L$43,IF(A30="A Grade / Juniors",4,IF(A30="B Grade",6,IF(A30="C Grade",8,IF(A30="D Grade",10,12)))))</f>
        <v>222</v>
      </c>
      <c r="S30" s="136"/>
      <c r="AC30" s="90"/>
      <c r="AE30" s="146"/>
    </row>
    <row r="31" spans="1:31" ht="17" customHeight="1" x14ac:dyDescent="0.2">
      <c r="A31" s="65" t="s">
        <v>23</v>
      </c>
      <c r="B31" s="65" t="s">
        <v>37</v>
      </c>
      <c r="C31" s="62">
        <v>8</v>
      </c>
      <c r="D31" s="66" t="s">
        <v>68</v>
      </c>
      <c r="E31" s="62" t="s">
        <v>61</v>
      </c>
      <c r="F31" s="90" t="s">
        <v>210</v>
      </c>
      <c r="G31" s="116">
        <v>6</v>
      </c>
      <c r="H31" s="142">
        <v>0.81805555555555554</v>
      </c>
      <c r="I31" s="55">
        <f>VLOOKUP(C31,'Points Table'!A$3:L$43,IF(A31="A Grade / Juniors",4,IF(A31="B Grade",6,IF(A31="C Grade",8,IF(A31="D Grade",10,12)))))</f>
        <v>216</v>
      </c>
      <c r="S31" s="136"/>
      <c r="AC31" s="90"/>
      <c r="AE31" s="146"/>
    </row>
    <row r="32" spans="1:31" ht="17" customHeight="1" x14ac:dyDescent="0.2">
      <c r="A32" s="65" t="s">
        <v>59</v>
      </c>
      <c r="B32" s="65" t="s">
        <v>38</v>
      </c>
      <c r="C32" s="62">
        <v>1</v>
      </c>
      <c r="D32" s="66" t="s">
        <v>60</v>
      </c>
      <c r="E32" s="62" t="s">
        <v>61</v>
      </c>
      <c r="F32" s="90" t="s">
        <v>169</v>
      </c>
      <c r="G32" s="116">
        <v>9</v>
      </c>
      <c r="H32" s="142">
        <v>0.93402777777777779</v>
      </c>
      <c r="I32" s="55">
        <f>VLOOKUP(C32,'Points Table'!A$3:L$43,IF(A32="A Grade / Juniors",4,IF(A32="B Grade",6,IF(A32="C Grade",8,IF(A32="D Grade",10,12)))))</f>
        <v>500</v>
      </c>
      <c r="S32" s="136"/>
      <c r="AC32" s="90"/>
      <c r="AE32" s="146"/>
    </row>
    <row r="33" spans="1:31" ht="17" x14ac:dyDescent="0.2">
      <c r="A33" s="65" t="s">
        <v>59</v>
      </c>
      <c r="B33" s="65" t="s">
        <v>38</v>
      </c>
      <c r="C33" s="62">
        <v>2</v>
      </c>
      <c r="D33" s="66" t="s">
        <v>62</v>
      </c>
      <c r="E33" s="62" t="s">
        <v>61</v>
      </c>
      <c r="F33" s="90" t="s">
        <v>167</v>
      </c>
      <c r="G33" s="116">
        <v>9</v>
      </c>
      <c r="H33" s="142">
        <v>0.95416666666666672</v>
      </c>
      <c r="I33" s="55">
        <f>VLOOKUP(C33,'Points Table'!A$3:L$43,IF(A33="A Grade / Juniors",4,IF(A33="B Grade",6,IF(A33="C Grade",8,IF(A33="D Grade",10,12)))))</f>
        <v>450</v>
      </c>
      <c r="Q33" s="128"/>
      <c r="S33" s="136"/>
      <c r="AC33" s="90"/>
      <c r="AE33" s="146"/>
    </row>
    <row r="34" spans="1:31" ht="17" customHeight="1" x14ac:dyDescent="0.2">
      <c r="A34" s="65" t="s">
        <v>59</v>
      </c>
      <c r="B34" s="65" t="s">
        <v>38</v>
      </c>
      <c r="C34" s="62">
        <v>3</v>
      </c>
      <c r="D34" s="66" t="s">
        <v>63</v>
      </c>
      <c r="E34" s="62" t="s">
        <v>61</v>
      </c>
      <c r="F34" s="90" t="s">
        <v>170</v>
      </c>
      <c r="G34" s="116">
        <v>9</v>
      </c>
      <c r="H34" s="142">
        <v>0.96666666666666667</v>
      </c>
      <c r="I34" s="55">
        <f>VLOOKUP(C34,'Points Table'!A$3:L$43,IF(A34="A Grade / Juniors",4,IF(A34="B Grade",6,IF(A34="C Grade",8,IF(A34="D Grade",10,12)))))</f>
        <v>420</v>
      </c>
      <c r="Q34" s="128"/>
    </row>
    <row r="35" spans="1:31" ht="17" customHeight="1" x14ac:dyDescent="0.2">
      <c r="A35" s="65" t="s">
        <v>59</v>
      </c>
      <c r="B35" s="65" t="s">
        <v>38</v>
      </c>
      <c r="C35" s="62">
        <v>4</v>
      </c>
      <c r="D35" s="66" t="s">
        <v>64</v>
      </c>
      <c r="E35" s="62" t="s">
        <v>61</v>
      </c>
      <c r="F35" s="90" t="s">
        <v>168</v>
      </c>
      <c r="G35" s="116">
        <v>9</v>
      </c>
      <c r="H35" s="142">
        <v>0.98402777777777772</v>
      </c>
      <c r="I35" s="55">
        <f>VLOOKUP(C35,'Points Table'!A$3:L$43,IF(A35="A Grade / Juniors",4,IF(A35="B Grade",6,IF(A35="C Grade",8,IF(A35="D Grade",10,12)))))</f>
        <v>400</v>
      </c>
      <c r="Q35" s="128"/>
    </row>
    <row r="36" spans="1:31" ht="17" customHeight="1" x14ac:dyDescent="0.2">
      <c r="A36" s="65" t="s">
        <v>59</v>
      </c>
      <c r="B36" s="65" t="s">
        <v>38</v>
      </c>
      <c r="C36" s="62">
        <v>5</v>
      </c>
      <c r="D36" s="66" t="s">
        <v>65</v>
      </c>
      <c r="E36" s="62" t="s">
        <v>61</v>
      </c>
      <c r="F36" s="90" t="s">
        <v>211</v>
      </c>
      <c r="G36" s="116">
        <v>6</v>
      </c>
      <c r="H36" s="142">
        <v>0.98541666666666672</v>
      </c>
      <c r="I36" s="55">
        <f>VLOOKUP(C36,'Points Table'!A$3:L$43,IF(A36="A Grade / Juniors",4,IF(A36="B Grade",6,IF(A36="C Grade",8,IF(A36="D Grade",10,12)))))</f>
        <v>390</v>
      </c>
      <c r="Q36" s="128"/>
    </row>
    <row r="37" spans="1:31" ht="17" customHeight="1" x14ac:dyDescent="0.2">
      <c r="A37" s="65" t="s">
        <v>19</v>
      </c>
      <c r="B37" s="65" t="s">
        <v>39</v>
      </c>
      <c r="C37" s="62">
        <v>1</v>
      </c>
      <c r="D37" s="66" t="s">
        <v>60</v>
      </c>
      <c r="E37" s="62" t="s">
        <v>61</v>
      </c>
      <c r="F37" s="90" t="s">
        <v>123</v>
      </c>
      <c r="G37" s="116">
        <v>9</v>
      </c>
      <c r="H37" s="142">
        <v>1.0097222222222222</v>
      </c>
      <c r="I37" s="55">
        <f>VLOOKUP(C37,'Points Table'!A$3:L$43,IF(A37="A Grade / Juniors",4,IF(A37="B Grade",6,IF(A37="C Grade",8,IF(A37="D Grade",10,12)))))</f>
        <v>375</v>
      </c>
      <c r="Q37" s="136"/>
      <c r="T37" s="147"/>
      <c r="U37" s="147"/>
      <c r="V37" s="147"/>
      <c r="W37" s="147"/>
      <c r="Y37" s="142"/>
    </row>
    <row r="38" spans="1:31" ht="17" customHeight="1" x14ac:dyDescent="0.2">
      <c r="A38" s="65" t="s">
        <v>19</v>
      </c>
      <c r="B38" s="65" t="s">
        <v>39</v>
      </c>
      <c r="C38" s="62">
        <v>2</v>
      </c>
      <c r="D38" s="66" t="s">
        <v>62</v>
      </c>
      <c r="E38" s="62" t="s">
        <v>61</v>
      </c>
      <c r="F38" s="90" t="s">
        <v>171</v>
      </c>
      <c r="G38" s="116">
        <v>8</v>
      </c>
      <c r="H38" s="142">
        <v>0.92083333333333328</v>
      </c>
      <c r="I38" s="55">
        <f>VLOOKUP(C38,'Points Table'!A$3:L$43,IF(A38="A Grade / Juniors",4,IF(A38="B Grade",6,IF(A38="C Grade",8,IF(A38="D Grade",10,12)))))</f>
        <v>337.5</v>
      </c>
      <c r="Q38" s="136"/>
      <c r="W38" s="147"/>
      <c r="Y38" s="142"/>
    </row>
    <row r="39" spans="1:31" ht="17" customHeight="1" x14ac:dyDescent="0.2">
      <c r="A39" s="65" t="s">
        <v>19</v>
      </c>
      <c r="B39" s="65" t="s">
        <v>39</v>
      </c>
      <c r="C39" s="62">
        <v>3</v>
      </c>
      <c r="D39" s="66" t="s">
        <v>63</v>
      </c>
      <c r="E39" s="62" t="s">
        <v>61</v>
      </c>
      <c r="F39" s="90" t="s">
        <v>172</v>
      </c>
      <c r="G39" s="116">
        <v>8</v>
      </c>
      <c r="H39" s="142">
        <v>1.0486111111111112</v>
      </c>
      <c r="I39" s="55">
        <f>VLOOKUP(C39,'Points Table'!A$3:L$43,IF(A39="A Grade / Juniors",4,IF(A39="B Grade",6,IF(A39="C Grade",8,IF(A39="D Grade",10,12)))))</f>
        <v>315</v>
      </c>
      <c r="Q39" s="136"/>
      <c r="R39" s="136"/>
      <c r="W39" s="147"/>
      <c r="Y39" s="142"/>
      <c r="AA39" s="146"/>
    </row>
    <row r="40" spans="1:31" ht="17" customHeight="1" x14ac:dyDescent="0.2">
      <c r="A40" s="65" t="s">
        <v>21</v>
      </c>
      <c r="B40" s="65" t="s">
        <v>40</v>
      </c>
      <c r="C40" s="62">
        <v>1</v>
      </c>
      <c r="D40" s="66" t="s">
        <v>60</v>
      </c>
      <c r="E40" s="62" t="s">
        <v>61</v>
      </c>
      <c r="F40" s="90" t="s">
        <v>196</v>
      </c>
      <c r="G40" s="116">
        <v>7</v>
      </c>
      <c r="H40" s="142">
        <v>0.97361111111111109</v>
      </c>
      <c r="I40" s="55">
        <f>VLOOKUP(C40,'Points Table'!A$3:L$43,IF(A40="A Grade / Juniors",4,IF(A40="B Grade",6,IF(A40="C Grade",8,IF(A40="D Grade",10,12)))))</f>
        <v>350</v>
      </c>
      <c r="Q40" s="128"/>
      <c r="R40" s="136"/>
      <c r="AA40" s="146"/>
    </row>
    <row r="41" spans="1:31" ht="17" customHeight="1" x14ac:dyDescent="0.2">
      <c r="A41" s="65" t="s">
        <v>21</v>
      </c>
      <c r="B41" s="65" t="s">
        <v>40</v>
      </c>
      <c r="C41" s="62">
        <v>2</v>
      </c>
      <c r="D41" s="66" t="s">
        <v>62</v>
      </c>
      <c r="E41" s="62" t="s">
        <v>61</v>
      </c>
      <c r="F41" s="90" t="s">
        <v>185</v>
      </c>
      <c r="G41" s="116">
        <v>7</v>
      </c>
      <c r="H41" s="142">
        <v>0.98750000000000004</v>
      </c>
      <c r="I41" s="55">
        <f>VLOOKUP(C41,'Points Table'!A$3:L$43,IF(A41="A Grade / Juniors",4,IF(A41="B Grade",6,IF(A41="C Grade",8,IF(A41="D Grade",10,12)))))</f>
        <v>315</v>
      </c>
      <c r="R41" s="136"/>
      <c r="AA41" s="142"/>
      <c r="AB41" s="142"/>
    </row>
    <row r="42" spans="1:31" ht="17" customHeight="1" x14ac:dyDescent="0.2">
      <c r="A42" s="65" t="s">
        <v>21</v>
      </c>
      <c r="B42" s="65" t="s">
        <v>40</v>
      </c>
      <c r="C42" s="62">
        <v>3</v>
      </c>
      <c r="D42" s="66" t="s">
        <v>63</v>
      </c>
      <c r="E42" s="62" t="s">
        <v>61</v>
      </c>
      <c r="F42" s="90" t="s">
        <v>212</v>
      </c>
      <c r="G42" s="116">
        <v>7</v>
      </c>
      <c r="H42" s="142">
        <v>1.0062500000000001</v>
      </c>
      <c r="I42" s="55">
        <f>VLOOKUP(C42,'Points Table'!A$3:L$43,IF(A42="A Grade / Juniors",4,IF(A42="B Grade",6,IF(A42="C Grade",8,IF(A42="D Grade",10,12)))))</f>
        <v>294</v>
      </c>
      <c r="R42" s="136"/>
      <c r="AA42" s="142"/>
      <c r="AB42" s="146"/>
    </row>
    <row r="43" spans="1:31" ht="17" customHeight="1" x14ac:dyDescent="0.2">
      <c r="A43" s="65" t="s">
        <v>21</v>
      </c>
      <c r="B43" s="65" t="s">
        <v>40</v>
      </c>
      <c r="C43" s="62">
        <v>4</v>
      </c>
      <c r="D43" s="66" t="s">
        <v>64</v>
      </c>
      <c r="E43" s="62" t="s">
        <v>61</v>
      </c>
      <c r="F43" s="90" t="s">
        <v>174</v>
      </c>
      <c r="G43" s="116">
        <v>7</v>
      </c>
      <c r="H43" s="142">
        <v>1.0083333333333333</v>
      </c>
      <c r="I43" s="55">
        <f>VLOOKUP(C43,'Points Table'!A$3:L$43,IF(A43="A Grade / Juniors",4,IF(A43="B Grade",6,IF(A43="C Grade",8,IF(A43="D Grade",10,12)))))</f>
        <v>280</v>
      </c>
      <c r="R43" s="136"/>
      <c r="AA43" s="142"/>
      <c r="AB43" s="142"/>
    </row>
    <row r="44" spans="1:31" ht="17" customHeight="1" x14ac:dyDescent="0.2">
      <c r="A44" s="65" t="s">
        <v>21</v>
      </c>
      <c r="B44" s="65" t="s">
        <v>40</v>
      </c>
      <c r="C44" s="62">
        <v>5</v>
      </c>
      <c r="D44" s="66" t="s">
        <v>65</v>
      </c>
      <c r="E44" s="62" t="s">
        <v>61</v>
      </c>
      <c r="F44" s="90" t="s">
        <v>173</v>
      </c>
      <c r="G44" s="116">
        <v>7</v>
      </c>
      <c r="H44" s="142">
        <v>1.0243055555555556</v>
      </c>
      <c r="I44" s="55">
        <f>VLOOKUP(C44,'Points Table'!A$3:L$43,IF(A44="A Grade / Juniors",4,IF(A44="B Grade",6,IF(A44="C Grade",8,IF(A44="D Grade",10,12)))))</f>
        <v>273</v>
      </c>
      <c r="R44" s="136"/>
      <c r="AA44" s="146"/>
    </row>
    <row r="45" spans="1:31" ht="17" customHeight="1" x14ac:dyDescent="0.2">
      <c r="A45" s="65" t="s">
        <v>21</v>
      </c>
      <c r="B45" s="65" t="s">
        <v>40</v>
      </c>
      <c r="C45" s="62">
        <v>6</v>
      </c>
      <c r="D45" s="66" t="s">
        <v>66</v>
      </c>
      <c r="E45" s="62" t="s">
        <v>61</v>
      </c>
      <c r="F45" s="90" t="s">
        <v>213</v>
      </c>
      <c r="G45" s="116">
        <v>6</v>
      </c>
      <c r="H45" s="142">
        <v>0.9291666666666667</v>
      </c>
      <c r="I45" s="55">
        <f>VLOOKUP(C45,'Points Table'!A$3:L$43,IF(A45="A Grade / Juniors",4,IF(A45="B Grade",6,IF(A45="C Grade",8,IF(A45="D Grade",10,12)))))</f>
        <v>266</v>
      </c>
    </row>
    <row r="46" spans="1:31" ht="14" customHeight="1" x14ac:dyDescent="0.2">
      <c r="A46" s="65" t="s">
        <v>41</v>
      </c>
      <c r="B46" s="65" t="s">
        <v>45</v>
      </c>
      <c r="C46" s="62">
        <v>1</v>
      </c>
      <c r="D46" s="66" t="s">
        <v>60</v>
      </c>
      <c r="E46" s="62" t="s">
        <v>61</v>
      </c>
      <c r="F46" s="90" t="s">
        <v>175</v>
      </c>
      <c r="G46" s="116">
        <v>14</v>
      </c>
      <c r="H46" s="142">
        <v>1.2590277777777779</v>
      </c>
      <c r="I46" s="55">
        <f>VLOOKUP(C46,'Points Table'!A$3:L$43,IF(A46="A Grade / Juniors",4,IF(A46="B Grade",6,IF(A46="C Grade",8,IF(A46="D Grade",10,12)))))</f>
        <v>500</v>
      </c>
    </row>
    <row r="47" spans="1:31" ht="17" customHeight="1" x14ac:dyDescent="0.2">
      <c r="A47" s="65" t="s">
        <v>41</v>
      </c>
      <c r="B47" s="65" t="s">
        <v>45</v>
      </c>
      <c r="C47" s="62">
        <v>2</v>
      </c>
      <c r="D47" s="66" t="s">
        <v>62</v>
      </c>
      <c r="E47" s="62" t="s">
        <v>61</v>
      </c>
      <c r="F47" s="90" t="s">
        <v>214</v>
      </c>
      <c r="G47" s="116">
        <v>13</v>
      </c>
      <c r="H47" s="142">
        <v>1.2361111111111112</v>
      </c>
      <c r="I47" s="55">
        <f>VLOOKUP(C47,'Points Table'!A$3:L$43,IF(A47="A Grade / Juniors",4,IF(A47="B Grade",6,IF(A47="C Grade",8,IF(A47="D Grade",10,12)))))</f>
        <v>450</v>
      </c>
      <c r="Q47" s="128"/>
    </row>
    <row r="48" spans="1:31" ht="17" customHeight="1" x14ac:dyDescent="0.2">
      <c r="A48" s="65" t="s">
        <v>41</v>
      </c>
      <c r="B48" s="65" t="s">
        <v>45</v>
      </c>
      <c r="C48" s="62">
        <v>3</v>
      </c>
      <c r="D48" s="66" t="s">
        <v>63</v>
      </c>
      <c r="E48" s="62" t="s">
        <v>61</v>
      </c>
      <c r="F48" s="90" t="s">
        <v>215</v>
      </c>
      <c r="G48" s="116">
        <v>10</v>
      </c>
      <c r="H48" s="142">
        <v>1.4173611111111111</v>
      </c>
      <c r="I48" s="55">
        <f>VLOOKUP(C48,'Points Table'!A$3:L$43,IF(A48="A Grade / Juniors",4,IF(A48="B Grade",6,IF(A48="C Grade",8,IF(A48="D Grade",10,12)))))</f>
        <v>420</v>
      </c>
      <c r="Q48" s="136"/>
      <c r="X48" s="142"/>
    </row>
    <row r="49" spans="1:24" ht="17" customHeight="1" x14ac:dyDescent="0.2">
      <c r="A49" s="65" t="s">
        <v>41</v>
      </c>
      <c r="B49" s="65" t="s">
        <v>46</v>
      </c>
      <c r="C49" s="62">
        <v>1</v>
      </c>
      <c r="D49" s="66" t="s">
        <v>60</v>
      </c>
      <c r="E49" s="62" t="s">
        <v>61</v>
      </c>
      <c r="F49" s="90" t="s">
        <v>186</v>
      </c>
      <c r="G49" s="116">
        <v>12</v>
      </c>
      <c r="H49" s="142">
        <v>1.0597222222222222</v>
      </c>
      <c r="I49" s="55">
        <f>VLOOKUP(C49,'Points Table'!A$3:L$43,IF(A49="A Grade / Juniors",4,IF(A49="B Grade",6,IF(A49="C Grade",8,IF(A49="D Grade",10,12)))))</f>
        <v>500</v>
      </c>
      <c r="Q49" s="136"/>
      <c r="X49" s="142"/>
    </row>
    <row r="50" spans="1:24" ht="17" customHeight="1" x14ac:dyDescent="0.2">
      <c r="A50" s="65" t="s">
        <v>41</v>
      </c>
      <c r="B50" s="65" t="s">
        <v>46</v>
      </c>
      <c r="C50" s="62">
        <v>2</v>
      </c>
      <c r="D50" s="66" t="s">
        <v>62</v>
      </c>
      <c r="E50" s="62" t="s">
        <v>61</v>
      </c>
      <c r="F50" s="90" t="s">
        <v>176</v>
      </c>
      <c r="G50" s="116">
        <v>12</v>
      </c>
      <c r="H50" s="142">
        <v>1.0708333333333333</v>
      </c>
      <c r="I50" s="55">
        <f>VLOOKUP(C50,'Points Table'!A$3:L$43,IF(A50="A Grade / Juniors",4,IF(A50="B Grade",6,IF(A50="C Grade",8,IF(A50="D Grade",10,12)))))</f>
        <v>450</v>
      </c>
      <c r="Q50" s="136"/>
      <c r="X50" s="142"/>
    </row>
    <row r="51" spans="1:24" ht="17" customHeight="1" x14ac:dyDescent="0.2">
      <c r="A51" s="65" t="s">
        <v>41</v>
      </c>
      <c r="B51" s="65" t="s">
        <v>46</v>
      </c>
      <c r="C51" s="62">
        <v>3</v>
      </c>
      <c r="D51" s="66" t="s">
        <v>63</v>
      </c>
      <c r="E51" s="62" t="s">
        <v>61</v>
      </c>
      <c r="F51" s="90" t="s">
        <v>187</v>
      </c>
      <c r="G51" s="116">
        <v>10</v>
      </c>
      <c r="H51" s="142">
        <v>1.0833333333333333</v>
      </c>
      <c r="I51" s="55">
        <f>VLOOKUP(C51,'Points Table'!A$3:L$43,IF(A51="A Grade / Juniors",4,IF(A51="B Grade",6,IF(A51="C Grade",8,IF(A51="D Grade",10,12)))))</f>
        <v>420</v>
      </c>
      <c r="Q51" s="136"/>
      <c r="X51" s="142"/>
    </row>
    <row r="52" spans="1:24" ht="17" customHeight="1" x14ac:dyDescent="0.2">
      <c r="A52" s="65" t="s">
        <v>41</v>
      </c>
      <c r="B52" s="65" t="s">
        <v>46</v>
      </c>
      <c r="C52" s="62">
        <v>4</v>
      </c>
      <c r="D52" s="66" t="s">
        <v>64</v>
      </c>
      <c r="E52" s="62" t="s">
        <v>61</v>
      </c>
      <c r="F52" s="90" t="s">
        <v>178</v>
      </c>
      <c r="G52" s="116">
        <v>10</v>
      </c>
      <c r="H52" s="142">
        <v>1.09375</v>
      </c>
      <c r="I52" s="55">
        <f>VLOOKUP(C52,'Points Table'!A$3:L$43,IF(A52="A Grade / Juniors",4,IF(A52="B Grade",6,IF(A52="C Grade",8,IF(A52="D Grade",10,12)))))</f>
        <v>400</v>
      </c>
      <c r="Q52" s="136"/>
      <c r="X52" s="142"/>
    </row>
    <row r="53" spans="1:24" ht="17" customHeight="1" x14ac:dyDescent="0.2">
      <c r="A53" s="65" t="s">
        <v>41</v>
      </c>
      <c r="B53" s="65" t="s">
        <v>46</v>
      </c>
      <c r="C53" s="62">
        <v>5</v>
      </c>
      <c r="D53" s="66" t="s">
        <v>65</v>
      </c>
      <c r="E53" s="62" t="s">
        <v>61</v>
      </c>
      <c r="F53" s="90" t="s">
        <v>188</v>
      </c>
      <c r="G53" s="116">
        <v>10</v>
      </c>
      <c r="H53" s="142">
        <v>1.1368055555555556</v>
      </c>
      <c r="I53" s="55">
        <f>VLOOKUP(C53,'Points Table'!A$3:L$43,IF(A53="A Grade / Juniors",4,IF(A53="B Grade",6,IF(A53="C Grade",8,IF(A53="D Grade",10,12)))))</f>
        <v>390</v>
      </c>
      <c r="J53" s="64"/>
      <c r="Q53" s="136"/>
      <c r="X53" s="142"/>
    </row>
    <row r="54" spans="1:24" ht="17" customHeight="1" x14ac:dyDescent="0.2">
      <c r="A54" s="65" t="s">
        <v>41</v>
      </c>
      <c r="B54" s="65" t="s">
        <v>46</v>
      </c>
      <c r="C54" s="62">
        <v>6</v>
      </c>
      <c r="D54" s="66" t="s">
        <v>66</v>
      </c>
      <c r="E54" s="62" t="s">
        <v>61</v>
      </c>
      <c r="F54" s="90" t="s">
        <v>216</v>
      </c>
      <c r="G54" s="116">
        <v>9</v>
      </c>
      <c r="H54" s="142">
        <v>1.0993055555555555</v>
      </c>
      <c r="I54" s="55">
        <f>VLOOKUP(C54,'Points Table'!A$3:L$43,IF(A54="A Grade / Juniors",4,IF(A54="B Grade",6,IF(A54="C Grade",8,IF(A54="D Grade",10,12)))))</f>
        <v>380</v>
      </c>
      <c r="J54" s="64"/>
      <c r="Q54" s="136"/>
      <c r="X54" s="142"/>
    </row>
    <row r="55" spans="1:24" ht="17" customHeight="1" x14ac:dyDescent="0.2">
      <c r="A55" s="65" t="s">
        <v>41</v>
      </c>
      <c r="B55" s="65" t="s">
        <v>46</v>
      </c>
      <c r="C55" s="62">
        <v>7</v>
      </c>
      <c r="D55" s="66" t="s">
        <v>67</v>
      </c>
      <c r="E55" s="62" t="s">
        <v>61</v>
      </c>
      <c r="F55" s="90" t="s">
        <v>217</v>
      </c>
      <c r="G55" s="116">
        <v>7</v>
      </c>
      <c r="H55" s="142">
        <v>1.0854166666666667</v>
      </c>
      <c r="I55" s="55">
        <f>VLOOKUP(C55,'Points Table'!A$3:L$43,IF(A55="A Grade / Juniors",4,IF(A55="B Grade",6,IF(A55="C Grade",8,IF(A55="D Grade",10,12)))))</f>
        <v>370</v>
      </c>
      <c r="Q55" s="136"/>
      <c r="R55" s="136"/>
      <c r="W55" s="146"/>
    </row>
    <row r="56" spans="1:24" ht="17" customHeight="1" x14ac:dyDescent="0.2">
      <c r="A56" s="65" t="s">
        <v>41</v>
      </c>
      <c r="B56" s="65" t="s">
        <v>47</v>
      </c>
      <c r="C56" s="62">
        <v>1</v>
      </c>
      <c r="D56" s="66" t="s">
        <v>60</v>
      </c>
      <c r="E56" s="62" t="s">
        <v>61</v>
      </c>
      <c r="F56" s="90" t="s">
        <v>177</v>
      </c>
      <c r="G56" s="116">
        <v>6</v>
      </c>
      <c r="H56" s="142">
        <v>0.6</v>
      </c>
      <c r="I56" s="55">
        <f>VLOOKUP(C56,'Points Table'!A$3:L$43,IF(A56="A Grade / Juniors",4,IF(A56="B Grade",6,IF(A56="C Grade",8,IF(A56="D Grade",10,12)))))</f>
        <v>500</v>
      </c>
      <c r="Q56" s="136"/>
      <c r="W56" s="146"/>
    </row>
    <row r="57" spans="1:24" ht="17" customHeight="1" x14ac:dyDescent="0.2">
      <c r="A57" s="65" t="s">
        <v>41</v>
      </c>
      <c r="B57" s="65" t="s">
        <v>47</v>
      </c>
      <c r="C57" s="62">
        <v>2</v>
      </c>
      <c r="D57" s="66" t="s">
        <v>62</v>
      </c>
      <c r="E57" s="62" t="s">
        <v>61</v>
      </c>
      <c r="F57" s="90" t="s">
        <v>179</v>
      </c>
      <c r="G57" s="116">
        <v>6</v>
      </c>
      <c r="H57" s="142">
        <v>0.69305555555555554</v>
      </c>
      <c r="I57" s="55">
        <f>VLOOKUP(C57,'Points Table'!A$3:L$43,IF(A57="A Grade / Juniors",4,IF(A57="B Grade",6,IF(A57="C Grade",8,IF(A57="D Grade",10,12)))))</f>
        <v>450</v>
      </c>
      <c r="Q57" s="136"/>
      <c r="W57" s="146"/>
    </row>
    <row r="58" spans="1:24" ht="17" customHeight="1" x14ac:dyDescent="0.2">
      <c r="A58" s="65" t="s">
        <v>41</v>
      </c>
      <c r="B58" s="65" t="s">
        <v>47</v>
      </c>
      <c r="C58" s="62">
        <v>3</v>
      </c>
      <c r="D58" s="66" t="s">
        <v>63</v>
      </c>
      <c r="E58" s="62" t="s">
        <v>61</v>
      </c>
      <c r="F58" s="90" t="s">
        <v>218</v>
      </c>
      <c r="G58" s="116">
        <v>5</v>
      </c>
      <c r="H58" s="142">
        <v>0.67152777777777772</v>
      </c>
      <c r="I58" s="55">
        <f>VLOOKUP(C58,'Points Table'!A$3:L$43,IF(A58="A Grade / Juniors",4,IF(A58="B Grade",6,IF(A58="C Grade",8,IF(A58="D Grade",10,12)))))</f>
        <v>420</v>
      </c>
      <c r="Q58" s="136"/>
      <c r="W58" s="146"/>
    </row>
    <row r="59" spans="1:24" ht="17" customHeight="1" x14ac:dyDescent="0.2">
      <c r="A59" s="65" t="s">
        <v>41</v>
      </c>
      <c r="B59" s="65" t="s">
        <v>47</v>
      </c>
      <c r="C59" s="62">
        <v>4</v>
      </c>
      <c r="D59" s="66" t="s">
        <v>64</v>
      </c>
      <c r="E59" s="62" t="s">
        <v>61</v>
      </c>
      <c r="F59" s="90" t="s">
        <v>219</v>
      </c>
      <c r="G59" s="116">
        <v>4</v>
      </c>
      <c r="H59" s="142">
        <v>0.5395833333333333</v>
      </c>
      <c r="I59" s="55">
        <f>VLOOKUP(C59,'Points Table'!A$3:L$43,IF(A59="A Grade / Juniors",4,IF(A59="B Grade",6,IF(A59="C Grade",8,IF(A59="D Grade",10,12)))))</f>
        <v>400</v>
      </c>
    </row>
    <row r="60" spans="1:24" ht="17" customHeight="1" x14ac:dyDescent="0.2">
      <c r="A60" s="65" t="s">
        <v>41</v>
      </c>
      <c r="B60" s="65" t="s">
        <v>48</v>
      </c>
      <c r="C60" s="62">
        <v>1</v>
      </c>
      <c r="D60" s="66" t="s">
        <v>60</v>
      </c>
      <c r="E60" s="62" t="s">
        <v>61</v>
      </c>
      <c r="F60" s="90" t="s">
        <v>190</v>
      </c>
      <c r="G60" s="116">
        <v>6</v>
      </c>
      <c r="H60" s="142">
        <v>0.71388888888888891</v>
      </c>
      <c r="I60" s="55">
        <f>VLOOKUP(C60,'Points Table'!A$3:L$43,IF(A60="A Grade / Juniors",4,IF(A60="B Grade",6,IF(A60="C Grade",8,IF(A60="D Grade",10,12)))))</f>
        <v>500</v>
      </c>
    </row>
    <row r="61" spans="1:24" ht="18" customHeight="1" x14ac:dyDescent="0.2">
      <c r="A61" s="65" t="s">
        <v>41</v>
      </c>
      <c r="B61" s="65" t="s">
        <v>48</v>
      </c>
      <c r="C61" s="62">
        <v>2</v>
      </c>
      <c r="D61" s="66" t="s">
        <v>62</v>
      </c>
      <c r="E61" s="62" t="s">
        <v>61</v>
      </c>
      <c r="F61" s="90" t="s">
        <v>197</v>
      </c>
      <c r="G61" s="116">
        <v>5</v>
      </c>
      <c r="H61" s="142">
        <v>0.61250000000000004</v>
      </c>
      <c r="I61" s="55">
        <f>VLOOKUP(C61,'Points Table'!A$3:L$43,IF(A61="A Grade / Juniors",4,IF(A61="B Grade",6,IF(A61="C Grade",8,IF(A61="D Grade",10,12)))))</f>
        <v>450</v>
      </c>
    </row>
    <row r="62" spans="1:24" ht="17" x14ac:dyDescent="0.2">
      <c r="A62" s="65" t="s">
        <v>41</v>
      </c>
      <c r="B62" s="65" t="s">
        <v>85</v>
      </c>
      <c r="C62" s="62">
        <v>1</v>
      </c>
      <c r="D62" s="66" t="s">
        <v>60</v>
      </c>
      <c r="E62" s="62" t="s">
        <v>61</v>
      </c>
      <c r="F62" s="90" t="s">
        <v>189</v>
      </c>
      <c r="G62" s="116">
        <v>5</v>
      </c>
      <c r="H62" s="142">
        <v>0.60833333333333328</v>
      </c>
      <c r="I62" s="55">
        <f>VLOOKUP(C62,'Points Table'!A$3:L$43,IF(A62="A Grade / Juniors",4,IF(A62="B Grade",6,IF(A62="C Grade",8,IF(A62="D Grade",10,12)))))</f>
        <v>500</v>
      </c>
    </row>
  </sheetData>
  <phoneticPr fontId="1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Z79"/>
  <sheetViews>
    <sheetView workbookViewId="0">
      <selection activeCell="R31" sqref="R31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4" bestFit="1" customWidth="1"/>
    <col min="7" max="7" width="5.83203125" style="72" bestFit="1" customWidth="1"/>
    <col min="8" max="8" width="10.5" style="62" bestFit="1" customWidth="1"/>
    <col min="9" max="9" width="7.1640625" style="62" bestFit="1" customWidth="1"/>
    <col min="10" max="17" width="8.83203125" style="62"/>
    <col min="18" max="21" width="9.6640625" style="62" customWidth="1"/>
    <col min="22" max="22" width="9.33203125" style="62" customWidth="1"/>
    <col min="23" max="23" width="8.6640625" style="62" customWidth="1"/>
    <col min="24" max="25" width="10.5" style="62" bestFit="1" customWidth="1"/>
    <col min="26" max="16384" width="8.83203125" style="62"/>
  </cols>
  <sheetData>
    <row r="1" spans="1:2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6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44" t="s">
        <v>220</v>
      </c>
      <c r="G2" s="124">
        <v>10</v>
      </c>
      <c r="H2" s="142">
        <v>1.1756944444444444</v>
      </c>
      <c r="I2" s="55">
        <f>VLOOKUP(C2,'Points Table'!A$3:L$43,IF(A2="A Grade / Juniors",4,IF(A2="B Grade",6,IF(A2="C Grade",8,IF(A2="D Grade",10,12)))))</f>
        <v>500</v>
      </c>
      <c r="S2" s="113"/>
      <c r="T2" s="67"/>
      <c r="U2" s="116"/>
    </row>
    <row r="3" spans="1:26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44" t="s">
        <v>156</v>
      </c>
      <c r="G3" s="124">
        <v>10</v>
      </c>
      <c r="H3" s="142">
        <v>1.2854166666666667</v>
      </c>
      <c r="I3" s="55">
        <f>VLOOKUP(C3,'Points Table'!A$3:L$43,IF(A3="A Grade / Juniors",4,IF(A3="B Grade",6,IF(A3="C Grade",8,IF(A3="D Grade",10,12)))))</f>
        <v>450</v>
      </c>
      <c r="T3" s="81"/>
      <c r="U3" s="81"/>
      <c r="V3" s="81"/>
      <c r="W3" s="81"/>
      <c r="X3" s="82"/>
      <c r="Y3"/>
    </row>
    <row r="4" spans="1:26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44" t="s">
        <v>221</v>
      </c>
      <c r="G4" s="124">
        <v>10</v>
      </c>
      <c r="H4" s="142">
        <v>1.3708333333333333</v>
      </c>
      <c r="I4" s="55">
        <f>VLOOKUP(C4,'Points Table'!A$3:L$43,IF(A4="A Grade / Juniors",4,IF(A4="B Grade",6,IF(A4="C Grade",8,IF(A4="D Grade",10,12)))))</f>
        <v>420</v>
      </c>
      <c r="R4" s="81"/>
      <c r="S4" s="81"/>
      <c r="T4" s="81"/>
      <c r="U4" s="81"/>
      <c r="V4" s="81"/>
      <c r="W4" s="81"/>
      <c r="X4" s="82"/>
      <c r="Y4" s="81"/>
    </row>
    <row r="5" spans="1:26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44" t="s">
        <v>222</v>
      </c>
      <c r="G5" s="124">
        <v>9</v>
      </c>
      <c r="H5" s="142">
        <v>1.2027777777777777</v>
      </c>
      <c r="I5" s="55">
        <f>VLOOKUP(C5,'Points Table'!A$3:L$43,IF(A5="A Grade / Juniors",4,IF(A5="B Grade",6,IF(A5="C Grade",8,IF(A5="D Grade",10,12)))))</f>
        <v>400</v>
      </c>
      <c r="R5" s="81"/>
      <c r="U5" s="81"/>
      <c r="V5" s="81"/>
      <c r="W5" s="81"/>
      <c r="X5" s="81"/>
      <c r="Y5" s="83"/>
      <c r="Z5"/>
    </row>
    <row r="6" spans="1:26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44" t="s">
        <v>201</v>
      </c>
      <c r="G6" s="124">
        <v>9</v>
      </c>
      <c r="H6" s="142">
        <v>1.2090277777777778</v>
      </c>
      <c r="I6" s="55">
        <f>VLOOKUP(C6,'Points Table'!A$3:L$43,IF(A6="A Grade / Juniors",4,IF(A6="B Grade",6,IF(A6="C Grade",8,IF(A6="D Grade",10,12)))))</f>
        <v>390</v>
      </c>
      <c r="R6" s="81"/>
      <c r="S6" s="81"/>
      <c r="T6" s="81"/>
      <c r="U6" s="81"/>
      <c r="V6" s="81"/>
      <c r="W6" s="81"/>
      <c r="X6" s="81"/>
      <c r="Y6" s="82"/>
      <c r="Z6" s="81"/>
    </row>
    <row r="7" spans="1:26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44" t="s">
        <v>223</v>
      </c>
      <c r="G7" s="124">
        <v>9</v>
      </c>
      <c r="H7" s="142">
        <v>1.2625</v>
      </c>
      <c r="I7" s="55">
        <f>VLOOKUP(C7,'Points Table'!A$3:L$43,IF(A7="A Grade / Juniors",4,IF(A7="B Grade",6,IF(A7="C Grade",8,IF(A7="D Grade",10,12)))))</f>
        <v>380</v>
      </c>
      <c r="R7" s="81"/>
      <c r="S7" s="81"/>
      <c r="T7" s="81"/>
      <c r="U7" s="81"/>
      <c r="V7" s="81"/>
      <c r="W7" s="81"/>
      <c r="X7" s="81"/>
      <c r="Y7" s="82"/>
      <c r="Z7" s="81"/>
    </row>
    <row r="8" spans="1:26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44" t="s">
        <v>157</v>
      </c>
      <c r="G8" s="124">
        <v>3</v>
      </c>
      <c r="H8" s="142">
        <v>0.39166666666666666</v>
      </c>
      <c r="I8" s="55">
        <f>VLOOKUP(C8,'Points Table'!A$3:L$43,IF(A8="A Grade / Juniors",4,IF(A8="B Grade",6,IF(A8="C Grade",8,IF(A8="D Grade",10,12)))))</f>
        <v>370</v>
      </c>
      <c r="S8" s="81"/>
      <c r="T8" s="81"/>
      <c r="U8" s="81"/>
      <c r="V8" s="81"/>
      <c r="W8" s="81"/>
      <c r="X8" s="81"/>
      <c r="Y8" s="82"/>
      <c r="Z8" s="81"/>
    </row>
    <row r="9" spans="1:26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144" t="s">
        <v>202</v>
      </c>
      <c r="G9" s="124">
        <v>9</v>
      </c>
      <c r="H9" s="142">
        <v>1.2201388888888889</v>
      </c>
      <c r="I9" s="55">
        <f>VLOOKUP(C9,'Points Table'!A$3:L$43,IF(A9="A Grade / Juniors",4,IF(A9="B Grade",6,IF(A9="C Grade",8,IF(A9="D Grade",10,12)))))</f>
        <v>375</v>
      </c>
      <c r="R9" s="81"/>
      <c r="S9" s="81"/>
      <c r="T9" s="81"/>
      <c r="U9" s="81"/>
      <c r="V9" s="81"/>
      <c r="W9" s="81"/>
      <c r="X9" s="81"/>
      <c r="Y9" s="82"/>
      <c r="Z9" s="81"/>
    </row>
    <row r="10" spans="1:26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144" t="s">
        <v>159</v>
      </c>
      <c r="G10" s="124">
        <v>9</v>
      </c>
      <c r="H10" s="142">
        <v>1.242361111111111</v>
      </c>
      <c r="I10" s="55">
        <f>VLOOKUP(C10,'Points Table'!A$3:L$43,IF(A10="A Grade / Juniors",4,IF(A10="B Grade",6,IF(A10="C Grade",8,IF(A10="D Grade",10,12)))))</f>
        <v>337.5</v>
      </c>
      <c r="R10" s="81"/>
      <c r="S10" s="81"/>
      <c r="T10" s="81"/>
      <c r="U10" s="81"/>
      <c r="V10" s="81"/>
      <c r="W10" s="81"/>
      <c r="X10" s="81"/>
      <c r="Y10" s="82"/>
      <c r="Z10" s="81"/>
    </row>
    <row r="11" spans="1:26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144" t="s">
        <v>224</v>
      </c>
      <c r="G11" s="124">
        <v>8</v>
      </c>
      <c r="H11" s="142">
        <v>1.1111111111111112</v>
      </c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81"/>
      <c r="W11" s="81"/>
      <c r="X11" s="81"/>
      <c r="Y11" s="82"/>
      <c r="Z11" s="81"/>
    </row>
    <row r="12" spans="1:26" ht="19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144" t="s">
        <v>162</v>
      </c>
      <c r="G12" s="124">
        <v>8</v>
      </c>
      <c r="H12" s="142">
        <v>1.1243055555555554</v>
      </c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81"/>
      <c r="W12" s="81"/>
      <c r="X12" s="81"/>
      <c r="Y12" s="82"/>
      <c r="Z12" s="81"/>
    </row>
    <row r="13" spans="1:26" ht="19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144" t="s">
        <v>225</v>
      </c>
      <c r="G13" s="124">
        <v>8</v>
      </c>
      <c r="H13" s="142">
        <v>1.132638888888889</v>
      </c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81"/>
      <c r="W13" s="81"/>
      <c r="X13" s="81"/>
      <c r="Y13" s="82"/>
      <c r="Z13" s="81"/>
    </row>
    <row r="14" spans="1:26" ht="19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144" t="s">
        <v>226</v>
      </c>
      <c r="G14" s="124">
        <v>8</v>
      </c>
      <c r="H14" s="142">
        <v>1.1340277777777779</v>
      </c>
      <c r="I14" s="55">
        <f>VLOOKUP(C14,'Points Table'!A$3:L$43,IF(A14="A Grade / Juniors",4,IF(A14="B Grade",6,IF(A14="C Grade",8,IF(A14="D Grade",10,12)))))</f>
        <v>285</v>
      </c>
      <c r="R14" s="81"/>
      <c r="S14" s="81"/>
      <c r="T14" s="81"/>
      <c r="U14" s="81"/>
      <c r="V14" s="81"/>
      <c r="W14" s="81"/>
      <c r="X14" s="81"/>
      <c r="Y14" s="82"/>
      <c r="Z14" s="81"/>
    </row>
    <row r="15" spans="1:26" ht="19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144" t="s">
        <v>183</v>
      </c>
      <c r="G15" s="124">
        <v>8</v>
      </c>
      <c r="H15" s="142">
        <v>1.1979166666666667</v>
      </c>
      <c r="I15" s="55">
        <f>VLOOKUP(C15,'Points Table'!A$3:L$43,IF(A15="A Grade / Juniors",4,IF(A15="B Grade",6,IF(A15="C Grade",8,IF(A15="D Grade",10,12)))))</f>
        <v>277.5</v>
      </c>
      <c r="R15" s="81"/>
      <c r="S15" s="81"/>
      <c r="T15" s="81"/>
      <c r="U15" s="81"/>
      <c r="V15" s="81"/>
      <c r="W15" s="81"/>
      <c r="X15" s="81"/>
      <c r="Y15" s="82"/>
      <c r="Z15" s="81"/>
    </row>
    <row r="16" spans="1:26" ht="19" x14ac:dyDescent="0.2">
      <c r="A16" s="65" t="s">
        <v>19</v>
      </c>
      <c r="B16" s="65" t="s">
        <v>35</v>
      </c>
      <c r="C16" s="62">
        <v>8</v>
      </c>
      <c r="D16" s="66" t="s">
        <v>68</v>
      </c>
      <c r="E16" s="62" t="s">
        <v>61</v>
      </c>
      <c r="F16" s="144" t="s">
        <v>161</v>
      </c>
      <c r="G16" s="124">
        <v>8</v>
      </c>
      <c r="H16" s="142">
        <v>1.2256944444444444</v>
      </c>
      <c r="I16" s="55">
        <f>VLOOKUP(C16,'Points Table'!A$3:L$43,IF(A16="A Grade / Juniors",4,IF(A16="B Grade",6,IF(A16="C Grade",8,IF(A16="D Grade",10,12)))))</f>
        <v>270</v>
      </c>
      <c r="R16" s="81"/>
      <c r="S16" s="81"/>
      <c r="T16" s="81"/>
      <c r="U16" s="81"/>
      <c r="V16" s="81"/>
      <c r="W16" s="81"/>
      <c r="X16" s="81"/>
      <c r="Y16" s="82"/>
      <c r="Z16" s="81"/>
    </row>
    <row r="17" spans="1:26" ht="19" x14ac:dyDescent="0.2">
      <c r="A17" s="65" t="s">
        <v>19</v>
      </c>
      <c r="B17" s="65" t="s">
        <v>35</v>
      </c>
      <c r="C17" s="62">
        <v>9</v>
      </c>
      <c r="D17" s="66" t="s">
        <v>69</v>
      </c>
      <c r="E17" s="62" t="s">
        <v>61</v>
      </c>
      <c r="F17" s="144" t="s">
        <v>227</v>
      </c>
      <c r="G17" s="124">
        <v>7</v>
      </c>
      <c r="H17" s="142">
        <v>1.2222222222222223</v>
      </c>
      <c r="I17" s="55">
        <f>VLOOKUP(C17,'Points Table'!A$3:L$43,IF(A17="A Grade / Juniors",4,IF(A17="B Grade",6,IF(A17="C Grade",8,IF(A17="D Grade",10,12)))))</f>
        <v>262.5</v>
      </c>
      <c r="S17" s="81"/>
      <c r="T17" s="81"/>
      <c r="U17" s="81"/>
      <c r="V17" s="81"/>
      <c r="W17" s="81"/>
      <c r="X17" s="81"/>
      <c r="Y17" s="82"/>
      <c r="Z17" s="81"/>
    </row>
    <row r="18" spans="1:26" ht="17" customHeight="1" x14ac:dyDescent="0.2">
      <c r="A18" s="65" t="s">
        <v>21</v>
      </c>
      <c r="B18" s="65" t="s">
        <v>36</v>
      </c>
      <c r="C18" s="62">
        <v>1</v>
      </c>
      <c r="D18" s="66" t="s">
        <v>60</v>
      </c>
      <c r="E18" s="62" t="s">
        <v>61</v>
      </c>
      <c r="F18" s="144" t="s">
        <v>228</v>
      </c>
      <c r="G18" s="124">
        <v>7</v>
      </c>
      <c r="H18" s="142">
        <v>0.99027777777777781</v>
      </c>
      <c r="I18" s="55">
        <f>VLOOKUP(C18,'Points Table'!A$3:L$43,IF(A18="A Grade / Juniors",4,IF(A18="B Grade",6,IF(A18="C Grade",8,IF(A18="D Grade",10,12)))))</f>
        <v>350</v>
      </c>
      <c r="S18" s="81"/>
      <c r="T18" s="81"/>
      <c r="U18" s="81"/>
      <c r="V18" s="81"/>
      <c r="W18" s="81"/>
      <c r="X18" s="81"/>
      <c r="Y18" s="83"/>
      <c r="Z18" s="81"/>
    </row>
    <row r="19" spans="1:26" ht="17" customHeight="1" x14ac:dyDescent="0.2">
      <c r="A19" s="65" t="s">
        <v>21</v>
      </c>
      <c r="B19" s="65" t="s">
        <v>36</v>
      </c>
      <c r="C19" s="62">
        <v>2</v>
      </c>
      <c r="D19" s="66" t="s">
        <v>62</v>
      </c>
      <c r="E19" s="62" t="s">
        <v>61</v>
      </c>
      <c r="F19" s="144" t="s">
        <v>229</v>
      </c>
      <c r="G19" s="124">
        <v>7</v>
      </c>
      <c r="H19" s="142">
        <v>1</v>
      </c>
      <c r="I19" s="55">
        <f>VLOOKUP(C19,'Points Table'!A$3:L$43,IF(A19="A Grade / Juniors",4,IF(A19="B Grade",6,IF(A19="C Grade",8,IF(A19="D Grade",10,12)))))</f>
        <v>315</v>
      </c>
      <c r="S19" s="81"/>
      <c r="T19" s="81"/>
      <c r="U19" s="81"/>
      <c r="V19" s="81"/>
      <c r="W19" s="81"/>
      <c r="X19" s="81"/>
      <c r="Y19" s="82"/>
      <c r="Z19" s="81"/>
    </row>
    <row r="20" spans="1:26" ht="17" customHeight="1" x14ac:dyDescent="0.2">
      <c r="A20" s="65" t="s">
        <v>21</v>
      </c>
      <c r="B20" s="65" t="s">
        <v>36</v>
      </c>
      <c r="C20" s="62">
        <v>3</v>
      </c>
      <c r="D20" s="66" t="s">
        <v>63</v>
      </c>
      <c r="E20" s="62" t="s">
        <v>61</v>
      </c>
      <c r="F20" s="144" t="s">
        <v>230</v>
      </c>
      <c r="G20" s="124">
        <v>7</v>
      </c>
      <c r="H20" s="142">
        <v>1.0298611111111111</v>
      </c>
      <c r="I20" s="55">
        <f>VLOOKUP(C20,'Points Table'!A$3:L$43,IF(A20="A Grade / Juniors",4,IF(A20="B Grade",6,IF(A20="C Grade",8,IF(A20="D Grade",10,12)))))</f>
        <v>294</v>
      </c>
      <c r="S20" s="81"/>
      <c r="T20" s="81"/>
      <c r="U20" s="81"/>
      <c r="V20" s="81"/>
      <c r="W20" s="81"/>
      <c r="X20" s="81"/>
      <c r="Y20" s="82"/>
      <c r="Z20" s="81"/>
    </row>
    <row r="21" spans="1:26" ht="17" customHeight="1" x14ac:dyDescent="0.2">
      <c r="A21" s="65" t="s">
        <v>21</v>
      </c>
      <c r="B21" s="65" t="s">
        <v>36</v>
      </c>
      <c r="C21" s="62">
        <v>4</v>
      </c>
      <c r="D21" s="66" t="s">
        <v>64</v>
      </c>
      <c r="E21" s="62" t="s">
        <v>61</v>
      </c>
      <c r="F21" s="144" t="s">
        <v>182</v>
      </c>
      <c r="G21" s="124">
        <v>7</v>
      </c>
      <c r="H21" s="142">
        <v>1.0319444444444446</v>
      </c>
      <c r="I21" s="55">
        <f>VLOOKUP(C21,'Points Table'!A$3:L$43,IF(A21="A Grade / Juniors",4,IF(A21="B Grade",6,IF(A21="C Grade",8,IF(A21="D Grade",10,12)))))</f>
        <v>280</v>
      </c>
      <c r="S21" s="81"/>
      <c r="T21" s="81"/>
      <c r="U21" s="81"/>
      <c r="V21" s="81"/>
      <c r="W21" s="81"/>
      <c r="X21" s="81"/>
      <c r="Y21" s="83"/>
      <c r="Z21" s="81"/>
    </row>
    <row r="22" spans="1:26" ht="17" customHeight="1" x14ac:dyDescent="0.2">
      <c r="A22" s="65" t="s">
        <v>21</v>
      </c>
      <c r="B22" s="65" t="s">
        <v>36</v>
      </c>
      <c r="C22" s="62">
        <v>5</v>
      </c>
      <c r="D22" s="66" t="s">
        <v>65</v>
      </c>
      <c r="E22" s="62" t="s">
        <v>61</v>
      </c>
      <c r="F22" s="144" t="s">
        <v>192</v>
      </c>
      <c r="G22" s="124">
        <v>7</v>
      </c>
      <c r="H22" s="142">
        <v>1.0326388888888889</v>
      </c>
      <c r="I22" s="55">
        <f>VLOOKUP(C22,'Points Table'!A$3:L$43,IF(A22="A Grade / Juniors",4,IF(A22="B Grade",6,IF(A22="C Grade",8,IF(A22="D Grade",10,12)))))</f>
        <v>273</v>
      </c>
      <c r="S22" s="81"/>
      <c r="T22" s="81"/>
      <c r="U22" s="81"/>
      <c r="V22" s="81"/>
      <c r="W22" s="81"/>
      <c r="X22" s="81"/>
      <c r="Y22" s="82"/>
      <c r="Z22"/>
    </row>
    <row r="23" spans="1:26" ht="17" customHeight="1" x14ac:dyDescent="0.2">
      <c r="A23" s="65" t="s">
        <v>21</v>
      </c>
      <c r="B23" s="65" t="s">
        <v>36</v>
      </c>
      <c r="C23" s="62">
        <v>6</v>
      </c>
      <c r="D23" s="66" t="s">
        <v>66</v>
      </c>
      <c r="E23" s="62" t="s">
        <v>61</v>
      </c>
      <c r="F23" s="144" t="s">
        <v>231</v>
      </c>
      <c r="G23" s="124">
        <v>7</v>
      </c>
      <c r="H23" s="142">
        <v>1.0520833333333333</v>
      </c>
      <c r="I23" s="55">
        <f>VLOOKUP(C23,'Points Table'!A$3:L$43,IF(A23="A Grade / Juniors",4,IF(A23="B Grade",6,IF(A23="C Grade",8,IF(A23="D Grade",10,12)))))</f>
        <v>266</v>
      </c>
      <c r="S23" s="113"/>
      <c r="T23" s="67"/>
      <c r="U23" s="112"/>
    </row>
    <row r="24" spans="1:26" ht="17" customHeight="1" x14ac:dyDescent="0.2">
      <c r="A24" s="65" t="s">
        <v>21</v>
      </c>
      <c r="B24" s="65" t="s">
        <v>36</v>
      </c>
      <c r="C24" s="62">
        <v>7</v>
      </c>
      <c r="D24" s="66" t="s">
        <v>67</v>
      </c>
      <c r="E24" s="62" t="s">
        <v>61</v>
      </c>
      <c r="F24" s="144" t="s">
        <v>232</v>
      </c>
      <c r="G24" s="124">
        <v>7</v>
      </c>
      <c r="H24" s="142">
        <v>1.054861111111111</v>
      </c>
      <c r="I24" s="55">
        <f>VLOOKUP(C24,'Points Table'!A$3:L$43,IF(A24="A Grade / Juniors",4,IF(A24="B Grade",6,IF(A24="C Grade",8,IF(A24="D Grade",10,12)))))</f>
        <v>259</v>
      </c>
      <c r="S24" s="113"/>
      <c r="T24" s="67"/>
      <c r="U24" s="112"/>
    </row>
    <row r="25" spans="1:26" ht="17" customHeight="1" x14ac:dyDescent="0.2">
      <c r="A25" s="65" t="s">
        <v>21</v>
      </c>
      <c r="B25" s="65" t="s">
        <v>36</v>
      </c>
      <c r="C25" s="62">
        <v>8</v>
      </c>
      <c r="D25" s="66" t="s">
        <v>68</v>
      </c>
      <c r="E25" s="62" t="s">
        <v>61</v>
      </c>
      <c r="F25" s="144" t="s">
        <v>164</v>
      </c>
      <c r="G25" s="124">
        <v>7</v>
      </c>
      <c r="H25" s="142">
        <v>1.0652777777777778</v>
      </c>
      <c r="I25" s="55">
        <f>VLOOKUP(C25,'Points Table'!A$3:L$43,IF(A25="A Grade / Juniors",4,IF(A25="B Grade",6,IF(A25="C Grade",8,IF(A25="D Grade",10,12)))))</f>
        <v>251.99999999999997</v>
      </c>
      <c r="S25" s="113"/>
      <c r="T25" s="67"/>
      <c r="U25" s="112"/>
    </row>
    <row r="26" spans="1:26" ht="17" customHeight="1" x14ac:dyDescent="0.2">
      <c r="A26" s="65" t="s">
        <v>21</v>
      </c>
      <c r="B26" s="65" t="s">
        <v>36</v>
      </c>
      <c r="C26" s="62">
        <v>9</v>
      </c>
      <c r="D26" s="66" t="s">
        <v>69</v>
      </c>
      <c r="E26" s="62" t="s">
        <v>61</v>
      </c>
      <c r="F26" s="144" t="s">
        <v>206</v>
      </c>
      <c r="G26" s="124">
        <v>7</v>
      </c>
      <c r="H26" s="142">
        <v>1.0659722222222223</v>
      </c>
      <c r="I26" s="55">
        <f>VLOOKUP(C26,'Points Table'!A$3:L$43,IF(A26="A Grade / Juniors",4,IF(A26="B Grade",6,IF(A26="C Grade",8,IF(A26="D Grade",10,12)))))</f>
        <v>244.99999999999997</v>
      </c>
      <c r="S26" s="113"/>
      <c r="T26" s="67"/>
      <c r="U26" s="112"/>
    </row>
    <row r="27" spans="1:26" ht="17" customHeight="1" x14ac:dyDescent="0.2">
      <c r="A27" s="65" t="s">
        <v>21</v>
      </c>
      <c r="B27" s="65" t="s">
        <v>36</v>
      </c>
      <c r="C27" s="62">
        <v>10</v>
      </c>
      <c r="D27" s="66" t="s">
        <v>70</v>
      </c>
      <c r="E27" s="62" t="s">
        <v>61</v>
      </c>
      <c r="F27" s="144" t="s">
        <v>233</v>
      </c>
      <c r="G27" s="124">
        <v>7</v>
      </c>
      <c r="H27" s="142">
        <v>1.0874999999999999</v>
      </c>
      <c r="I27" s="55">
        <f>VLOOKUP(C27,'Points Table'!A$3:L$43,IF(A27="A Grade / Juniors",4,IF(A27="B Grade",6,IF(A27="C Grade",8,IF(A27="D Grade",10,12)))))</f>
        <v>237.99999999999997</v>
      </c>
      <c r="T27" s="81"/>
      <c r="U27" s="81"/>
      <c r="V27" s="81"/>
      <c r="W27" s="81"/>
      <c r="X27" s="83"/>
      <c r="Y27"/>
    </row>
    <row r="28" spans="1:26" ht="17" customHeight="1" x14ac:dyDescent="0.2">
      <c r="A28" s="65" t="s">
        <v>21</v>
      </c>
      <c r="B28" s="65" t="s">
        <v>36</v>
      </c>
      <c r="C28" s="62">
        <v>11</v>
      </c>
      <c r="D28" s="66" t="s">
        <v>71</v>
      </c>
      <c r="E28" s="62" t="s">
        <v>61</v>
      </c>
      <c r="F28" s="144" t="s">
        <v>234</v>
      </c>
      <c r="G28" s="124">
        <v>7</v>
      </c>
      <c r="H28" s="142">
        <v>1.0979166666666667</v>
      </c>
      <c r="I28" s="55">
        <f>VLOOKUP(C28,'Points Table'!A$3:L$43,IF(A28="A Grade / Juniors",4,IF(A28="B Grade",6,IF(A28="C Grade",8,IF(A28="D Grade",10,12)))))</f>
        <v>230.99999999999997</v>
      </c>
      <c r="R28" s="81"/>
      <c r="S28" s="81"/>
      <c r="T28" s="81"/>
      <c r="U28" s="81"/>
      <c r="V28" s="81"/>
      <c r="W28" s="81"/>
      <c r="X28" s="83"/>
      <c r="Y28" s="81"/>
    </row>
    <row r="29" spans="1:26" ht="17" customHeight="1" x14ac:dyDescent="0.2">
      <c r="A29" s="65" t="s">
        <v>21</v>
      </c>
      <c r="B29" s="65" t="s">
        <v>36</v>
      </c>
      <c r="C29" s="62">
        <v>12</v>
      </c>
      <c r="D29" s="66" t="s">
        <v>72</v>
      </c>
      <c r="E29" s="62" t="s">
        <v>61</v>
      </c>
      <c r="F29" s="144" t="s">
        <v>235</v>
      </c>
      <c r="G29" s="124">
        <v>7</v>
      </c>
      <c r="H29" s="142">
        <v>1.1263888888888889</v>
      </c>
      <c r="I29" s="55">
        <f>VLOOKUP(C29,'Points Table'!A$3:L$43,IF(A29="A Grade / Juniors",4,IF(A29="B Grade",6,IF(A29="C Grade",8,IF(A29="D Grade",10,12)))))</f>
        <v>224</v>
      </c>
      <c r="R29" s="81"/>
      <c r="S29" s="81"/>
      <c r="T29" s="81"/>
      <c r="U29" s="81"/>
      <c r="V29" s="81"/>
      <c r="W29" s="81"/>
      <c r="X29" s="83"/>
      <c r="Y29" s="81"/>
    </row>
    <row r="30" spans="1:26" ht="17" customHeight="1" x14ac:dyDescent="0.2">
      <c r="A30" s="65" t="s">
        <v>21</v>
      </c>
      <c r="B30" s="65" t="s">
        <v>36</v>
      </c>
      <c r="C30" s="62">
        <v>13</v>
      </c>
      <c r="D30" s="66" t="s">
        <v>73</v>
      </c>
      <c r="E30" s="62" t="s">
        <v>61</v>
      </c>
      <c r="F30" s="144" t="s">
        <v>236</v>
      </c>
      <c r="G30" s="124">
        <v>7</v>
      </c>
      <c r="H30" s="142">
        <v>1.1409722222222223</v>
      </c>
      <c r="I30" s="55">
        <f>VLOOKUP(C30,'Points Table'!A$3:L$43,IF(A30="A Grade / Juniors",4,IF(A30="B Grade",6,IF(A30="C Grade",8,IF(A30="D Grade",10,12)))))</f>
        <v>217</v>
      </c>
      <c r="R30" s="81"/>
      <c r="S30" s="81"/>
      <c r="T30" s="81"/>
      <c r="U30" s="81"/>
      <c r="V30" s="81"/>
      <c r="W30" s="81"/>
      <c r="X30" s="83"/>
      <c r="Y30"/>
    </row>
    <row r="31" spans="1:26" ht="17" customHeight="1" x14ac:dyDescent="0.2">
      <c r="A31" s="65" t="s">
        <v>21</v>
      </c>
      <c r="B31" s="65" t="s">
        <v>36</v>
      </c>
      <c r="C31" s="62">
        <v>14</v>
      </c>
      <c r="D31" s="66" t="s">
        <v>74</v>
      </c>
      <c r="E31" s="62" t="s">
        <v>61</v>
      </c>
      <c r="F31" s="144" t="s">
        <v>237</v>
      </c>
      <c r="G31" s="124">
        <v>6</v>
      </c>
      <c r="H31" s="142">
        <v>0.99236111111111114</v>
      </c>
      <c r="I31" s="55">
        <f>VLOOKUP(C31,'Points Table'!A$3:L$43,IF(A31="A Grade / Juniors",4,IF(A31="B Grade",6,IF(A31="C Grade",8,IF(A31="D Grade",10,12)))))</f>
        <v>210</v>
      </c>
      <c r="U31" s="81"/>
      <c r="V31" s="81"/>
      <c r="W31" s="81"/>
      <c r="X31" s="81"/>
      <c r="Y31" s="82"/>
      <c r="Z31"/>
    </row>
    <row r="32" spans="1:26" ht="17" customHeight="1" x14ac:dyDescent="0.2">
      <c r="A32" s="65" t="s">
        <v>21</v>
      </c>
      <c r="B32" s="65" t="s">
        <v>36</v>
      </c>
      <c r="C32" s="62">
        <v>15</v>
      </c>
      <c r="D32" s="66" t="s">
        <v>75</v>
      </c>
      <c r="E32" s="62" t="s">
        <v>61</v>
      </c>
      <c r="F32" s="144" t="s">
        <v>238</v>
      </c>
      <c r="G32" s="124">
        <v>6</v>
      </c>
      <c r="H32" s="142">
        <v>1.0180555555555555</v>
      </c>
      <c r="I32" s="55">
        <f>VLOOKUP(C32,'Points Table'!A$3:L$43,IF(A32="A Grade / Juniors",4,IF(A32="B Grade",6,IF(A32="C Grade",8,IF(A32="D Grade",10,12)))))</f>
        <v>203</v>
      </c>
      <c r="S32" s="81"/>
      <c r="T32" s="81"/>
      <c r="U32" s="81"/>
      <c r="V32" s="81"/>
      <c r="W32" s="81"/>
      <c r="X32" s="81"/>
      <c r="Y32" s="82"/>
      <c r="Z32" s="81"/>
    </row>
    <row r="33" spans="1:26" ht="17" customHeight="1" x14ac:dyDescent="0.2">
      <c r="A33" s="65" t="s">
        <v>21</v>
      </c>
      <c r="B33" s="65" t="s">
        <v>36</v>
      </c>
      <c r="C33" s="62">
        <v>16</v>
      </c>
      <c r="D33" s="66" t="s">
        <v>76</v>
      </c>
      <c r="E33" s="62" t="s">
        <v>61</v>
      </c>
      <c r="F33" s="144" t="s">
        <v>239</v>
      </c>
      <c r="G33" s="124">
        <v>6</v>
      </c>
      <c r="H33" s="142">
        <v>1.0833333333333333</v>
      </c>
      <c r="I33" s="55">
        <f>VLOOKUP(C33,'Points Table'!A$3:L$43,IF(A33="A Grade / Juniors",4,IF(A33="B Grade",6,IF(A33="C Grade",8,IF(A33="D Grade",10,12)))))</f>
        <v>196</v>
      </c>
      <c r="S33" s="81"/>
      <c r="T33" s="81"/>
      <c r="U33" s="81"/>
      <c r="V33" s="81"/>
      <c r="W33" s="81"/>
      <c r="X33" s="81"/>
      <c r="Y33" s="82"/>
      <c r="Z33" s="81"/>
    </row>
    <row r="34" spans="1:26" ht="17" customHeight="1" x14ac:dyDescent="0.2">
      <c r="A34" s="65" t="s">
        <v>21</v>
      </c>
      <c r="B34" s="65" t="s">
        <v>36</v>
      </c>
      <c r="C34" s="62">
        <v>17</v>
      </c>
      <c r="D34" s="66" t="s">
        <v>79</v>
      </c>
      <c r="E34" s="62" t="s">
        <v>61</v>
      </c>
      <c r="F34" s="144" t="s">
        <v>165</v>
      </c>
      <c r="G34" s="124">
        <v>5</v>
      </c>
      <c r="H34" s="142">
        <v>0.99513888888888891</v>
      </c>
      <c r="I34" s="55">
        <f>VLOOKUP(C34,'Points Table'!A$3:L$43,IF(A34="A Grade / Juniors",4,IF(A34="B Grade",6,IF(A34="C Grade",8,IF(A34="D Grade",10,12)))))</f>
        <v>189</v>
      </c>
      <c r="Q34" s="81"/>
      <c r="R34" s="81"/>
      <c r="S34" s="81"/>
      <c r="T34" s="81"/>
      <c r="U34" s="81"/>
      <c r="V34" s="81"/>
      <c r="W34" s="81"/>
      <c r="X34" s="81"/>
      <c r="Y34" s="82"/>
      <c r="Z34" s="81"/>
    </row>
    <row r="35" spans="1:26" ht="17" customHeight="1" x14ac:dyDescent="0.2">
      <c r="A35" s="65" t="s">
        <v>21</v>
      </c>
      <c r="B35" s="65" t="s">
        <v>36</v>
      </c>
      <c r="C35" s="62">
        <v>18</v>
      </c>
      <c r="D35" s="66" t="s">
        <v>80</v>
      </c>
      <c r="E35" s="62" t="s">
        <v>61</v>
      </c>
      <c r="F35" s="144" t="s">
        <v>240</v>
      </c>
      <c r="G35" s="124">
        <v>5</v>
      </c>
      <c r="H35" s="142">
        <v>1.0673611111111112</v>
      </c>
      <c r="I35" s="55">
        <f>VLOOKUP(C35,'Points Table'!A$3:L$43,IF(A35="A Grade / Juniors",4,IF(A35="B Grade",6,IF(A35="C Grade",8,IF(A35="D Grade",10,12)))))</f>
        <v>182</v>
      </c>
      <c r="Q35" s="81"/>
      <c r="R35" s="81"/>
      <c r="S35" s="81"/>
      <c r="T35" s="81"/>
      <c r="U35" s="81"/>
      <c r="V35" s="81"/>
      <c r="W35" s="81"/>
      <c r="X35" s="81"/>
      <c r="Y35" s="82"/>
      <c r="Z35" s="81"/>
    </row>
    <row r="36" spans="1:26" ht="17" customHeight="1" x14ac:dyDescent="0.2">
      <c r="A36" s="65" t="s">
        <v>23</v>
      </c>
      <c r="B36" s="65" t="s">
        <v>37</v>
      </c>
      <c r="C36" s="62">
        <v>1</v>
      </c>
      <c r="D36" s="66" t="s">
        <v>60</v>
      </c>
      <c r="E36" s="62" t="s">
        <v>61</v>
      </c>
      <c r="F36" s="144" t="s">
        <v>241</v>
      </c>
      <c r="G36" s="124">
        <v>6</v>
      </c>
      <c r="H36" s="142">
        <v>0.8979166666666667</v>
      </c>
      <c r="I36" s="55">
        <f>VLOOKUP(C36,'Points Table'!A$3:L$43,IF(A36="A Grade / Juniors",4,IF(A36="B Grade",6,IF(A36="C Grade",8,IF(A36="D Grade",10,12)))))</f>
        <v>300</v>
      </c>
      <c r="Q36" s="81"/>
      <c r="R36" s="81"/>
      <c r="S36" s="81"/>
      <c r="T36" s="81"/>
      <c r="U36" s="83"/>
      <c r="V36"/>
      <c r="W36" s="81"/>
      <c r="X36" s="81"/>
      <c r="Y36" s="82"/>
      <c r="Z36"/>
    </row>
    <row r="37" spans="1:26" ht="17" customHeight="1" x14ac:dyDescent="0.2">
      <c r="A37" s="65" t="s">
        <v>23</v>
      </c>
      <c r="B37" s="65" t="s">
        <v>37</v>
      </c>
      <c r="C37" s="62">
        <v>2</v>
      </c>
      <c r="D37" s="66" t="s">
        <v>62</v>
      </c>
      <c r="E37" s="62" t="s">
        <v>61</v>
      </c>
      <c r="F37" s="144" t="s">
        <v>208</v>
      </c>
      <c r="G37" s="124">
        <v>5</v>
      </c>
      <c r="H37" s="142">
        <v>0.83958333333333335</v>
      </c>
      <c r="I37" s="55">
        <f>VLOOKUP(C37,'Points Table'!A$3:L$43,IF(A37="A Grade / Juniors",4,IF(A37="B Grade",6,IF(A37="C Grade",8,IF(A37="D Grade",10,12)))))</f>
        <v>270</v>
      </c>
      <c r="O37" s="81"/>
      <c r="P37" s="81"/>
      <c r="Q37" s="81"/>
      <c r="R37" s="81"/>
      <c r="S37" s="81"/>
      <c r="T37" s="81"/>
      <c r="U37" s="83"/>
      <c r="V37" s="81"/>
    </row>
    <row r="38" spans="1:26" ht="17" customHeight="1" x14ac:dyDescent="0.2">
      <c r="A38" s="65" t="s">
        <v>23</v>
      </c>
      <c r="B38" s="65" t="s">
        <v>37</v>
      </c>
      <c r="C38" s="62">
        <v>3</v>
      </c>
      <c r="D38" s="66" t="s">
        <v>63</v>
      </c>
      <c r="E38" s="62" t="s">
        <v>61</v>
      </c>
      <c r="F38" s="144" t="s">
        <v>209</v>
      </c>
      <c r="G38" s="124">
        <v>5</v>
      </c>
      <c r="H38" s="142">
        <v>0.94444444444444442</v>
      </c>
      <c r="I38" s="55">
        <f>VLOOKUP(C38,'Points Table'!A$3:L$43,IF(A38="A Grade / Juniors",4,IF(A38="B Grade",6,IF(A38="C Grade",8,IF(A38="D Grade",10,12)))))</f>
        <v>252</v>
      </c>
      <c r="O38" s="81"/>
      <c r="P38" s="81"/>
      <c r="Q38" s="81"/>
      <c r="R38" s="81"/>
      <c r="S38" s="81"/>
      <c r="T38" s="81"/>
      <c r="U38" s="83"/>
      <c r="V38" s="81"/>
    </row>
    <row r="39" spans="1:26" ht="17" customHeight="1" x14ac:dyDescent="0.2">
      <c r="A39" s="65" t="s">
        <v>23</v>
      </c>
      <c r="B39" s="65" t="s">
        <v>37</v>
      </c>
      <c r="C39" s="62">
        <v>4</v>
      </c>
      <c r="D39" s="66" t="s">
        <v>64</v>
      </c>
      <c r="E39" s="62" t="s">
        <v>61</v>
      </c>
      <c r="F39" s="144" t="s">
        <v>242</v>
      </c>
      <c r="G39" s="124">
        <v>5</v>
      </c>
      <c r="H39" s="142">
        <v>0.97083333333333333</v>
      </c>
      <c r="I39" s="55">
        <f>VLOOKUP(C39,'Points Table'!A$3:L$43,IF(A39="A Grade / Juniors",4,IF(A39="B Grade",6,IF(A39="C Grade",8,IF(A39="D Grade",10,12)))))</f>
        <v>240</v>
      </c>
      <c r="O39" s="81"/>
      <c r="P39" s="81"/>
      <c r="Q39" s="81"/>
      <c r="R39" s="81"/>
      <c r="S39" s="81"/>
      <c r="T39" s="81"/>
      <c r="U39" s="83"/>
      <c r="V39" s="81"/>
    </row>
    <row r="40" spans="1:26" ht="17" customHeight="1" x14ac:dyDescent="0.2">
      <c r="A40" s="65" t="s">
        <v>59</v>
      </c>
      <c r="B40" s="65" t="s">
        <v>38</v>
      </c>
      <c r="C40" s="62">
        <v>1</v>
      </c>
      <c r="D40" s="66" t="s">
        <v>60</v>
      </c>
      <c r="E40" s="62" t="s">
        <v>61</v>
      </c>
      <c r="F40" s="144" t="s">
        <v>243</v>
      </c>
      <c r="G40" s="124">
        <v>7</v>
      </c>
      <c r="H40" s="142">
        <v>1.0069444444444444</v>
      </c>
      <c r="I40" s="55">
        <f>VLOOKUP(C40,'Points Table'!A$3:L$43,IF(A40="A Grade / Juniors",4,IF(A40="B Grade",6,IF(A40="C Grade",8,IF(A40="D Grade",10,12)))))</f>
        <v>500</v>
      </c>
      <c r="O40" s="81"/>
      <c r="P40" s="81"/>
      <c r="Q40" s="81"/>
      <c r="R40" s="81"/>
      <c r="S40" s="81"/>
      <c r="T40" s="81"/>
      <c r="U40" s="83"/>
      <c r="V40" s="81"/>
    </row>
    <row r="41" spans="1:26" ht="17" customHeight="1" x14ac:dyDescent="0.2">
      <c r="A41" s="65" t="s">
        <v>59</v>
      </c>
      <c r="B41" s="65" t="s">
        <v>38</v>
      </c>
      <c r="C41" s="62">
        <v>2</v>
      </c>
      <c r="D41" s="66" t="s">
        <v>62</v>
      </c>
      <c r="E41" s="62" t="s">
        <v>61</v>
      </c>
      <c r="F41" s="144" t="s">
        <v>167</v>
      </c>
      <c r="G41" s="124">
        <v>7</v>
      </c>
      <c r="H41" s="142">
        <v>1.0451388888888888</v>
      </c>
      <c r="I41" s="55">
        <f>VLOOKUP(C41,'Points Table'!A$3:L$43,IF(A41="A Grade / Juniors",4,IF(A41="B Grade",6,IF(A41="C Grade",8,IF(A41="D Grade",10,12)))))</f>
        <v>450</v>
      </c>
      <c r="O41" s="81"/>
      <c r="P41" s="81"/>
      <c r="Q41" s="81"/>
      <c r="R41" s="81"/>
      <c r="S41" s="81"/>
      <c r="T41" s="81"/>
      <c r="U41" s="83"/>
      <c r="V41" s="81"/>
    </row>
    <row r="42" spans="1:26" ht="17" customHeight="1" x14ac:dyDescent="0.2">
      <c r="A42" s="65" t="s">
        <v>59</v>
      </c>
      <c r="B42" s="65" t="s">
        <v>38</v>
      </c>
      <c r="C42" s="62">
        <v>3</v>
      </c>
      <c r="D42" s="66" t="s">
        <v>63</v>
      </c>
      <c r="E42" s="62" t="s">
        <v>61</v>
      </c>
      <c r="F42" s="144" t="s">
        <v>244</v>
      </c>
      <c r="G42" s="124">
        <v>5</v>
      </c>
      <c r="H42" s="142">
        <v>1.1166666666666667</v>
      </c>
      <c r="I42" s="55">
        <f>VLOOKUP(C42,'Points Table'!A$3:L$43,IF(A42="A Grade / Juniors",4,IF(A42="B Grade",6,IF(A42="C Grade",8,IF(A42="D Grade",10,12)))))</f>
        <v>420</v>
      </c>
      <c r="O42" s="81"/>
      <c r="P42" s="81"/>
      <c r="Q42" s="81"/>
      <c r="R42" s="81"/>
      <c r="S42" s="81"/>
      <c r="T42" s="81"/>
      <c r="U42" s="83"/>
      <c r="V42" s="81"/>
    </row>
    <row r="43" spans="1:26" ht="17" customHeight="1" x14ac:dyDescent="0.2">
      <c r="A43" s="65" t="s">
        <v>19</v>
      </c>
      <c r="B43" s="65" t="s">
        <v>39</v>
      </c>
      <c r="C43" s="62">
        <v>1</v>
      </c>
      <c r="D43" s="66" t="s">
        <v>60</v>
      </c>
      <c r="E43" s="62" t="s">
        <v>61</v>
      </c>
      <c r="F43" s="144" t="s">
        <v>171</v>
      </c>
      <c r="G43" s="124">
        <v>7</v>
      </c>
      <c r="H43" s="142">
        <v>1.1333333333333333</v>
      </c>
      <c r="I43" s="55">
        <f>VLOOKUP(C43,'Points Table'!A$3:L$43,IF(A43="A Grade / Juniors",4,IF(A43="B Grade",6,IF(A43="C Grade",8,IF(A43="D Grade",10,12)))))</f>
        <v>375</v>
      </c>
      <c r="O43" s="81"/>
      <c r="P43" s="81"/>
      <c r="Q43" s="81"/>
      <c r="R43" s="81"/>
      <c r="S43" s="81"/>
      <c r="T43" s="81"/>
      <c r="U43" s="83"/>
      <c r="V43" s="81"/>
    </row>
    <row r="44" spans="1:26" ht="17" customHeight="1" x14ac:dyDescent="0.2">
      <c r="A44" s="65" t="s">
        <v>19</v>
      </c>
      <c r="B44" s="65" t="s">
        <v>39</v>
      </c>
      <c r="C44" s="62">
        <v>2</v>
      </c>
      <c r="D44" s="66" t="s">
        <v>62</v>
      </c>
      <c r="E44" s="62" t="s">
        <v>61</v>
      </c>
      <c r="F44" s="144" t="s">
        <v>172</v>
      </c>
      <c r="G44" s="124">
        <v>6</v>
      </c>
      <c r="H44" s="142">
        <v>1.0444444444444445</v>
      </c>
      <c r="I44" s="55">
        <f>VLOOKUP(C44,'Points Table'!A$3:L$43,IF(A44="A Grade / Juniors",4,IF(A44="B Grade",6,IF(A44="C Grade",8,IF(A44="D Grade",10,12)))))</f>
        <v>337.5</v>
      </c>
      <c r="O44" s="81"/>
      <c r="P44" s="81"/>
      <c r="Q44" s="81"/>
      <c r="R44" s="81"/>
      <c r="S44" s="81"/>
      <c r="T44" s="81"/>
      <c r="U44" s="83"/>
      <c r="V44" s="81"/>
    </row>
    <row r="45" spans="1:26" ht="17" customHeight="1" x14ac:dyDescent="0.2">
      <c r="A45" s="65" t="s">
        <v>19</v>
      </c>
      <c r="B45" s="65" t="s">
        <v>39</v>
      </c>
      <c r="C45" s="62">
        <v>3</v>
      </c>
      <c r="D45" s="66" t="s">
        <v>63</v>
      </c>
      <c r="E45" s="62" t="s">
        <v>61</v>
      </c>
      <c r="F45" s="144" t="s">
        <v>245</v>
      </c>
      <c r="G45" s="124">
        <v>6</v>
      </c>
      <c r="H45" s="142">
        <v>1.05</v>
      </c>
      <c r="I45" s="55">
        <f>VLOOKUP(C45,'Points Table'!A$3:L$43,IF(A45="A Grade / Juniors",4,IF(A45="B Grade",6,IF(A45="C Grade",8,IF(A45="D Grade",10,12)))))</f>
        <v>315</v>
      </c>
      <c r="O45" s="81"/>
      <c r="P45" s="81"/>
      <c r="Q45" s="81"/>
      <c r="R45" s="81"/>
      <c r="S45" s="81"/>
      <c r="T45" s="81"/>
      <c r="U45" s="83"/>
      <c r="V45"/>
    </row>
    <row r="46" spans="1:26" ht="17" customHeight="1" x14ac:dyDescent="0.2">
      <c r="A46" s="65" t="s">
        <v>19</v>
      </c>
      <c r="B46" s="65" t="s">
        <v>39</v>
      </c>
      <c r="C46" s="62">
        <v>4</v>
      </c>
      <c r="D46" s="66" t="s">
        <v>64</v>
      </c>
      <c r="E46" s="62" t="s">
        <v>61</v>
      </c>
      <c r="F46" s="144" t="s">
        <v>246</v>
      </c>
      <c r="G46" s="124">
        <v>6</v>
      </c>
      <c r="H46" s="142">
        <v>1.1493055555555556</v>
      </c>
      <c r="I46" s="55">
        <f>VLOOKUP(C46,'Points Table'!A$3:L$43,IF(A46="A Grade / Juniors",4,IF(A46="B Grade",6,IF(A46="C Grade",8,IF(A46="D Grade",10,12)))))</f>
        <v>300</v>
      </c>
      <c r="S46" s="113"/>
      <c r="T46" s="67"/>
      <c r="U46" s="112"/>
    </row>
    <row r="47" spans="1:26" ht="17" customHeight="1" x14ac:dyDescent="0.2">
      <c r="A47" s="65" t="s">
        <v>19</v>
      </c>
      <c r="B47" s="65" t="s">
        <v>39</v>
      </c>
      <c r="C47" s="62">
        <v>5</v>
      </c>
      <c r="D47" s="66" t="s">
        <v>65</v>
      </c>
      <c r="E47" s="62" t="s">
        <v>61</v>
      </c>
      <c r="F47" s="144" t="s">
        <v>247</v>
      </c>
      <c r="G47" s="124">
        <v>6</v>
      </c>
      <c r="H47" s="142">
        <v>1.175</v>
      </c>
      <c r="I47" s="55">
        <f>VLOOKUP(C47,'Points Table'!A$3:L$43,IF(A47="A Grade / Juniors",4,IF(A47="B Grade",6,IF(A47="C Grade",8,IF(A47="D Grade",10,12)))))</f>
        <v>292.5</v>
      </c>
    </row>
    <row r="48" spans="1:26" ht="17" customHeight="1" x14ac:dyDescent="0.2">
      <c r="A48" s="65" t="s">
        <v>19</v>
      </c>
      <c r="B48" s="65" t="s">
        <v>39</v>
      </c>
      <c r="C48" s="62">
        <v>6</v>
      </c>
      <c r="D48" s="66" t="s">
        <v>66</v>
      </c>
      <c r="E48" s="62" t="s">
        <v>61</v>
      </c>
      <c r="F48" s="144" t="s">
        <v>248</v>
      </c>
      <c r="G48" s="124">
        <v>6</v>
      </c>
      <c r="H48" s="142">
        <v>1.1784722222222221</v>
      </c>
      <c r="I48" s="55">
        <f>VLOOKUP(C48,'Points Table'!A$3:L$43,IF(A48="A Grade / Juniors",4,IF(A48="B Grade",6,IF(A48="C Grade",8,IF(A48="D Grade",10,12)))))</f>
        <v>285</v>
      </c>
      <c r="S48" s="81"/>
      <c r="T48" s="81"/>
      <c r="U48" s="81"/>
      <c r="V48" s="81"/>
      <c r="W48" s="82"/>
      <c r="X48"/>
    </row>
    <row r="49" spans="1:26" ht="17" customHeight="1" x14ac:dyDescent="0.2">
      <c r="A49" s="65" t="s">
        <v>21</v>
      </c>
      <c r="B49" s="65" t="s">
        <v>40</v>
      </c>
      <c r="C49" s="62">
        <v>1</v>
      </c>
      <c r="D49" s="66" t="s">
        <v>60</v>
      </c>
      <c r="E49" s="62" t="s">
        <v>61</v>
      </c>
      <c r="F49" s="144" t="s">
        <v>196</v>
      </c>
      <c r="G49" s="124">
        <v>4</v>
      </c>
      <c r="H49" s="142">
        <v>0.77430555555555558</v>
      </c>
      <c r="I49" s="55">
        <f>VLOOKUP(C49,'Points Table'!A$3:L$43,IF(A49="A Grade / Juniors",4,IF(A49="B Grade",6,IF(A49="C Grade",8,IF(A49="D Grade",10,12)))))</f>
        <v>350</v>
      </c>
      <c r="Q49" s="81"/>
      <c r="R49" s="81"/>
      <c r="S49" s="81"/>
      <c r="T49" s="81"/>
      <c r="U49" s="81"/>
      <c r="V49" s="81"/>
      <c r="W49" s="82"/>
      <c r="X49" s="81"/>
    </row>
    <row r="50" spans="1:26" ht="17" customHeight="1" x14ac:dyDescent="0.2">
      <c r="A50" s="65" t="s">
        <v>21</v>
      </c>
      <c r="B50" s="65" t="s">
        <v>40</v>
      </c>
      <c r="C50" s="62">
        <v>2</v>
      </c>
      <c r="D50" s="66" t="s">
        <v>62</v>
      </c>
      <c r="E50" s="62" t="s">
        <v>61</v>
      </c>
      <c r="F50" s="144" t="s">
        <v>249</v>
      </c>
      <c r="G50" s="124">
        <v>4</v>
      </c>
      <c r="H50" s="142">
        <v>0.78125</v>
      </c>
      <c r="I50" s="55">
        <f>VLOOKUP(C50,'Points Table'!A$3:L$43,IF(A50="A Grade / Juniors",4,IF(A50="B Grade",6,IF(A50="C Grade",8,IF(A50="D Grade",10,12)))))</f>
        <v>315</v>
      </c>
      <c r="Q50" s="81"/>
      <c r="R50" s="81"/>
      <c r="S50" s="81"/>
      <c r="T50" s="81"/>
      <c r="U50" s="81"/>
      <c r="V50" s="81"/>
      <c r="W50" s="82"/>
      <c r="X50" s="81"/>
    </row>
    <row r="51" spans="1:26" ht="17" customHeight="1" x14ac:dyDescent="0.2">
      <c r="A51" s="65" t="s">
        <v>21</v>
      </c>
      <c r="B51" s="65" t="s">
        <v>40</v>
      </c>
      <c r="C51" s="62">
        <v>3</v>
      </c>
      <c r="D51" s="66" t="s">
        <v>63</v>
      </c>
      <c r="E51" s="62" t="s">
        <v>61</v>
      </c>
      <c r="F51" s="144" t="s">
        <v>174</v>
      </c>
      <c r="G51" s="124">
        <v>4</v>
      </c>
      <c r="H51" s="142">
        <v>0.80625000000000002</v>
      </c>
      <c r="I51" s="55">
        <f>VLOOKUP(C51,'Points Table'!A$3:L$43,IF(A51="A Grade / Juniors",4,IF(A51="B Grade",6,IF(A51="C Grade",8,IF(A51="D Grade",10,12)))))</f>
        <v>294</v>
      </c>
      <c r="Q51" s="81"/>
      <c r="R51" s="81"/>
      <c r="S51" s="81"/>
      <c r="T51" s="81"/>
      <c r="U51" s="81"/>
      <c r="V51" s="81"/>
      <c r="W51" s="82"/>
      <c r="X51" s="81"/>
    </row>
    <row r="52" spans="1:26" ht="17" customHeight="1" x14ac:dyDescent="0.2">
      <c r="A52" s="65" t="s">
        <v>21</v>
      </c>
      <c r="B52" s="65" t="s">
        <v>40</v>
      </c>
      <c r="C52" s="62">
        <v>4</v>
      </c>
      <c r="D52" s="66" t="s">
        <v>64</v>
      </c>
      <c r="E52" s="62" t="s">
        <v>61</v>
      </c>
      <c r="F52" s="144" t="s">
        <v>250</v>
      </c>
      <c r="G52" s="124">
        <v>4</v>
      </c>
      <c r="H52" s="142">
        <v>0.8208333333333333</v>
      </c>
      <c r="I52" s="55">
        <f>VLOOKUP(C52,'Points Table'!A$3:L$43,IF(A52="A Grade / Juniors",4,IF(A52="B Grade",6,IF(A52="C Grade",8,IF(A52="D Grade",10,12)))))</f>
        <v>280</v>
      </c>
      <c r="Q52" s="81"/>
      <c r="R52" s="81"/>
      <c r="S52" s="81"/>
      <c r="T52" s="81"/>
      <c r="U52" s="81"/>
      <c r="V52" s="81"/>
      <c r="W52" s="82"/>
      <c r="X52" s="81"/>
    </row>
    <row r="53" spans="1:26" ht="17" customHeight="1" x14ac:dyDescent="0.2">
      <c r="A53" s="65" t="s">
        <v>21</v>
      </c>
      <c r="B53" s="65" t="s">
        <v>40</v>
      </c>
      <c r="C53" s="62">
        <v>5</v>
      </c>
      <c r="D53" s="66" t="s">
        <v>65</v>
      </c>
      <c r="E53" s="62" t="s">
        <v>61</v>
      </c>
      <c r="F53" s="144" t="s">
        <v>251</v>
      </c>
      <c r="G53" s="124">
        <v>4</v>
      </c>
      <c r="H53" s="142">
        <v>0.82499999999999996</v>
      </c>
      <c r="I53" s="55">
        <f>VLOOKUP(C53,'Points Table'!A$3:L$43,IF(A53="A Grade / Juniors",4,IF(A53="B Grade",6,IF(A53="C Grade",8,IF(A53="D Grade",10,12)))))</f>
        <v>273</v>
      </c>
      <c r="Q53" s="81"/>
      <c r="R53" s="81"/>
      <c r="S53" s="81"/>
      <c r="T53" s="81"/>
      <c r="U53" s="81"/>
      <c r="V53" s="81"/>
      <c r="W53" s="82"/>
      <c r="X53"/>
    </row>
    <row r="54" spans="1:26" ht="17" customHeight="1" x14ac:dyDescent="0.2">
      <c r="A54" s="65" t="s">
        <v>21</v>
      </c>
      <c r="B54" s="65" t="s">
        <v>40</v>
      </c>
      <c r="C54" s="62">
        <v>6</v>
      </c>
      <c r="D54" s="66" t="s">
        <v>66</v>
      </c>
      <c r="E54" s="62" t="s">
        <v>61</v>
      </c>
      <c r="F54" s="144" t="s">
        <v>212</v>
      </c>
      <c r="G54" s="124">
        <v>4</v>
      </c>
      <c r="H54" s="142">
        <v>0.84791666666666665</v>
      </c>
      <c r="I54" s="55">
        <f>VLOOKUP(C54,'Points Table'!A$3:L$43,IF(A54="A Grade / Juniors",4,IF(A54="B Grade",6,IF(A54="C Grade",8,IF(A54="D Grade",10,12)))))</f>
        <v>266</v>
      </c>
      <c r="S54" s="113"/>
      <c r="T54" s="67"/>
      <c r="U54" s="112"/>
    </row>
    <row r="55" spans="1:26" ht="17" customHeight="1" x14ac:dyDescent="0.2">
      <c r="A55" s="65" t="s">
        <v>21</v>
      </c>
      <c r="B55" s="65" t="s">
        <v>40</v>
      </c>
      <c r="C55" s="62">
        <v>7</v>
      </c>
      <c r="D55" s="66" t="s">
        <v>67</v>
      </c>
      <c r="E55" s="62" t="s">
        <v>61</v>
      </c>
      <c r="F55" s="144" t="s">
        <v>213</v>
      </c>
      <c r="G55" s="124">
        <v>4</v>
      </c>
      <c r="H55" s="142">
        <v>0.85069444444444442</v>
      </c>
      <c r="I55" s="55">
        <f>VLOOKUP(C55,'Points Table'!A$3:L$43,IF(A55="A Grade / Juniors",4,IF(A55="B Grade",6,IF(A55="C Grade",8,IF(A55="D Grade",10,12)))))</f>
        <v>259</v>
      </c>
      <c r="S55" s="113"/>
      <c r="T55" s="67"/>
      <c r="U55" s="112"/>
    </row>
    <row r="56" spans="1:26" ht="17" customHeight="1" x14ac:dyDescent="0.2">
      <c r="A56" s="65" t="s">
        <v>21</v>
      </c>
      <c r="B56" s="65" t="s">
        <v>40</v>
      </c>
      <c r="C56" s="62">
        <v>8</v>
      </c>
      <c r="D56" s="66" t="s">
        <v>68</v>
      </c>
      <c r="E56" s="62" t="s">
        <v>61</v>
      </c>
      <c r="F56" s="144" t="s">
        <v>252</v>
      </c>
      <c r="G56" s="124">
        <v>4</v>
      </c>
      <c r="H56" s="142">
        <v>0.87222222222222223</v>
      </c>
      <c r="I56" s="55">
        <f>VLOOKUP(C56,'Points Table'!A$3:L$43,IF(A56="A Grade / Juniors",4,IF(A56="B Grade",6,IF(A56="C Grade",8,IF(A56="D Grade",10,12)))))</f>
        <v>251.99999999999997</v>
      </c>
      <c r="S56" s="81"/>
      <c r="T56" s="81"/>
      <c r="U56" s="81"/>
      <c r="V56" s="81"/>
      <c r="W56" s="83"/>
      <c r="X56"/>
    </row>
    <row r="57" spans="1:26" ht="17" customHeight="1" x14ac:dyDescent="0.2">
      <c r="A57" s="65" t="s">
        <v>21</v>
      </c>
      <c r="B57" s="65" t="s">
        <v>40</v>
      </c>
      <c r="C57" s="62">
        <v>9</v>
      </c>
      <c r="D57" s="66" t="s">
        <v>69</v>
      </c>
      <c r="E57" s="62" t="s">
        <v>61</v>
      </c>
      <c r="F57" s="144" t="s">
        <v>253</v>
      </c>
      <c r="G57" s="124">
        <v>4</v>
      </c>
      <c r="H57" s="142">
        <v>0.90555555555555556</v>
      </c>
      <c r="I57" s="55">
        <f>VLOOKUP(C57,'Points Table'!A$3:L$43,IF(A57="A Grade / Juniors",4,IF(A57="B Grade",6,IF(A57="C Grade",8,IF(A57="D Grade",10,12)))))</f>
        <v>244.99999999999997</v>
      </c>
      <c r="Q57" s="81"/>
      <c r="R57" s="81"/>
      <c r="S57" s="81"/>
      <c r="T57" s="81"/>
      <c r="U57" s="81"/>
      <c r="V57" s="81"/>
      <c r="W57" s="83"/>
      <c r="X57" s="81"/>
    </row>
    <row r="58" spans="1:26" ht="17" customHeight="1" x14ac:dyDescent="0.2">
      <c r="A58" s="65" t="s">
        <v>21</v>
      </c>
      <c r="B58" s="65" t="s">
        <v>40</v>
      </c>
      <c r="C58" s="62">
        <v>10</v>
      </c>
      <c r="D58" s="66" t="s">
        <v>70</v>
      </c>
      <c r="E58" s="62" t="s">
        <v>61</v>
      </c>
      <c r="F58" s="144" t="s">
        <v>254</v>
      </c>
      <c r="G58" s="124">
        <v>4</v>
      </c>
      <c r="H58" s="142">
        <v>0.97499999999999998</v>
      </c>
      <c r="I58" s="55">
        <f>VLOOKUP(C58,'Points Table'!A$3:L$43,IF(A58="A Grade / Juniors",4,IF(A58="B Grade",6,IF(A58="C Grade",8,IF(A58="D Grade",10,12)))))</f>
        <v>237.99999999999997</v>
      </c>
      <c r="Q58" s="81"/>
      <c r="R58" s="81"/>
      <c r="S58" s="81"/>
      <c r="T58" s="81"/>
      <c r="U58" s="81"/>
      <c r="V58" s="81"/>
      <c r="W58" s="83"/>
      <c r="X58"/>
    </row>
    <row r="59" spans="1:26" ht="17" customHeight="1" x14ac:dyDescent="0.2">
      <c r="A59" s="65" t="s">
        <v>41</v>
      </c>
      <c r="B59" s="65" t="s">
        <v>116</v>
      </c>
      <c r="C59" s="62">
        <v>1</v>
      </c>
      <c r="D59" s="66" t="s">
        <v>60</v>
      </c>
      <c r="E59" s="62" t="s">
        <v>61</v>
      </c>
      <c r="F59" s="144" t="s">
        <v>255</v>
      </c>
      <c r="G59" s="124">
        <v>6</v>
      </c>
      <c r="H59" s="142">
        <v>1.0194444444444444</v>
      </c>
      <c r="I59" s="55">
        <f>VLOOKUP(C59,'Points Table'!A$3:L$43,IF(A59="A Grade / Juniors",4,IF(A59="B Grade",6,IF(A59="C Grade",8,IF(A59="D Grade",10,12)))))</f>
        <v>500</v>
      </c>
      <c r="S59" s="113"/>
      <c r="T59" s="67"/>
      <c r="U59" s="112"/>
    </row>
    <row r="60" spans="1:26" ht="17" customHeight="1" x14ac:dyDescent="0.2">
      <c r="A60" s="65" t="s">
        <v>41</v>
      </c>
      <c r="B60" s="65" t="s">
        <v>46</v>
      </c>
      <c r="C60" s="62">
        <v>1</v>
      </c>
      <c r="D60" s="66" t="s">
        <v>60</v>
      </c>
      <c r="E60" s="62" t="s">
        <v>61</v>
      </c>
      <c r="F60" s="144" t="s">
        <v>256</v>
      </c>
      <c r="G60" s="124">
        <v>9</v>
      </c>
      <c r="H60" s="142">
        <v>1.1354166666666667</v>
      </c>
      <c r="I60" s="55">
        <f>VLOOKUP(C60,'Points Table'!A$3:L$43,IF(A60="A Grade / Juniors",4,IF(A60="B Grade",6,IF(A60="C Grade",8,IF(A60="D Grade",10,12)))))</f>
        <v>500</v>
      </c>
      <c r="R60" s="81"/>
      <c r="U60" s="81"/>
      <c r="V60" s="81"/>
      <c r="W60" s="81"/>
      <c r="X60" s="81"/>
      <c r="Y60" s="83"/>
      <c r="Z60"/>
    </row>
    <row r="61" spans="1:26" ht="17" customHeight="1" x14ac:dyDescent="0.2">
      <c r="A61" s="65" t="s">
        <v>41</v>
      </c>
      <c r="B61" s="65" t="s">
        <v>46</v>
      </c>
      <c r="C61" s="62">
        <v>2</v>
      </c>
      <c r="D61" s="66" t="s">
        <v>62</v>
      </c>
      <c r="E61" s="62" t="s">
        <v>61</v>
      </c>
      <c r="F61" s="144" t="s">
        <v>186</v>
      </c>
      <c r="G61" s="124">
        <v>9</v>
      </c>
      <c r="H61" s="142">
        <v>1.1576388888888889</v>
      </c>
      <c r="I61" s="55">
        <f>VLOOKUP(C61,'Points Table'!A$3:L$43,IF(A61="A Grade / Juniors",4,IF(A61="B Grade",6,IF(A61="C Grade",8,IF(A61="D Grade",10,12)))))</f>
        <v>450</v>
      </c>
      <c r="S61" s="81"/>
      <c r="T61" s="81"/>
      <c r="U61" s="81"/>
      <c r="V61" s="81"/>
      <c r="W61" s="81"/>
      <c r="X61" s="81"/>
      <c r="Y61" s="83"/>
      <c r="Z61" s="81"/>
    </row>
    <row r="62" spans="1:26" ht="17" customHeight="1" x14ac:dyDescent="0.2">
      <c r="A62" s="65" t="s">
        <v>41</v>
      </c>
      <c r="B62" s="65" t="s">
        <v>46</v>
      </c>
      <c r="C62" s="62">
        <v>3</v>
      </c>
      <c r="D62" s="66" t="s">
        <v>63</v>
      </c>
      <c r="E62" s="62" t="s">
        <v>61</v>
      </c>
      <c r="F62" s="144" t="s">
        <v>257</v>
      </c>
      <c r="G62" s="124">
        <v>8</v>
      </c>
      <c r="H62" s="142">
        <v>1.1722222222222223</v>
      </c>
      <c r="I62" s="55">
        <f>VLOOKUP(C62,'Points Table'!A$3:L$43,IF(A62="A Grade / Juniors",4,IF(A62="B Grade",6,IF(A62="C Grade",8,IF(A62="D Grade",10,12)))))</f>
        <v>420</v>
      </c>
      <c r="S62" s="81"/>
      <c r="T62" s="81"/>
      <c r="U62" s="81"/>
      <c r="V62" s="81"/>
      <c r="W62" s="81"/>
      <c r="X62" s="81"/>
      <c r="Y62" s="83"/>
      <c r="Z62"/>
    </row>
    <row r="63" spans="1:26" ht="17" customHeight="1" x14ac:dyDescent="0.2">
      <c r="A63" s="65" t="s">
        <v>41</v>
      </c>
      <c r="B63" s="65" t="s">
        <v>46</v>
      </c>
      <c r="C63" s="62">
        <v>4</v>
      </c>
      <c r="D63" s="66" t="s">
        <v>64</v>
      </c>
      <c r="E63" s="62" t="s">
        <v>61</v>
      </c>
      <c r="F63" s="144" t="s">
        <v>188</v>
      </c>
      <c r="G63" s="124">
        <v>8</v>
      </c>
      <c r="H63" s="142">
        <v>1.1909722222222223</v>
      </c>
      <c r="I63" s="55">
        <f>VLOOKUP(C63,'Points Table'!A$3:L$43,IF(A63="A Grade / Juniors",4,IF(A63="B Grade",6,IF(A63="C Grade",8,IF(A63="D Grade",10,12)))))</f>
        <v>400</v>
      </c>
      <c r="Q63" s="81"/>
      <c r="R63" s="81"/>
      <c r="S63" s="81"/>
      <c r="T63" s="81"/>
      <c r="U63" s="83"/>
      <c r="V63"/>
    </row>
    <row r="64" spans="1:26" ht="17" customHeight="1" x14ac:dyDescent="0.2">
      <c r="A64" s="65" t="s">
        <v>41</v>
      </c>
      <c r="B64" s="65" t="s">
        <v>46</v>
      </c>
      <c r="C64" s="62">
        <v>5</v>
      </c>
      <c r="D64" s="66" t="s">
        <v>65</v>
      </c>
      <c r="E64" s="62" t="s">
        <v>61</v>
      </c>
      <c r="F64" s="144" t="s">
        <v>258</v>
      </c>
      <c r="G64" s="124">
        <v>8</v>
      </c>
      <c r="H64" s="142">
        <v>1.2298611111111111</v>
      </c>
      <c r="I64" s="55">
        <f>VLOOKUP(C64,'Points Table'!A$3:L$43,IF(A64="A Grade / Juniors",4,IF(A64="B Grade",6,IF(A64="C Grade",8,IF(A64="D Grade",10,12)))))</f>
        <v>390</v>
      </c>
      <c r="O64" s="81"/>
      <c r="P64" s="81"/>
      <c r="Q64" s="81"/>
      <c r="R64" s="81"/>
      <c r="S64" s="81"/>
      <c r="T64" s="81"/>
      <c r="U64" s="83"/>
      <c r="V64" s="81"/>
    </row>
    <row r="65" spans="1:22" ht="17" customHeight="1" x14ac:dyDescent="0.2">
      <c r="A65" s="65" t="s">
        <v>41</v>
      </c>
      <c r="B65" s="65" t="s">
        <v>46</v>
      </c>
      <c r="C65" s="62">
        <v>6</v>
      </c>
      <c r="D65" s="66" t="s">
        <v>66</v>
      </c>
      <c r="E65" s="62" t="s">
        <v>61</v>
      </c>
      <c r="F65" s="144" t="s">
        <v>178</v>
      </c>
      <c r="G65" s="124">
        <v>8</v>
      </c>
      <c r="H65" s="142">
        <v>1.2597222222222222</v>
      </c>
      <c r="I65" s="55">
        <f>VLOOKUP(C65,'Points Table'!A$3:L$43,IF(A65="A Grade / Juniors",4,IF(A65="B Grade",6,IF(A65="C Grade",8,IF(A65="D Grade",10,12)))))</f>
        <v>380</v>
      </c>
      <c r="O65" s="81"/>
      <c r="P65" s="81"/>
      <c r="Q65" s="81"/>
      <c r="R65" s="81"/>
      <c r="S65" s="81"/>
      <c r="T65" s="81"/>
      <c r="U65" s="83"/>
      <c r="V65" s="81"/>
    </row>
    <row r="66" spans="1:22" ht="17" customHeight="1" x14ac:dyDescent="0.2">
      <c r="A66" s="65" t="s">
        <v>41</v>
      </c>
      <c r="B66" s="65" t="s">
        <v>117</v>
      </c>
      <c r="C66" s="62">
        <v>1</v>
      </c>
      <c r="D66" s="66" t="s">
        <v>60</v>
      </c>
      <c r="E66" s="62" t="s">
        <v>61</v>
      </c>
      <c r="F66" s="144" t="s">
        <v>259</v>
      </c>
      <c r="G66" s="124">
        <v>5</v>
      </c>
      <c r="H66" s="142">
        <v>1.0201388888888889</v>
      </c>
      <c r="I66" s="55">
        <f>VLOOKUP(C66,'Points Table'!A$3:L$43,IF(A66="A Grade / Juniors",4,IF(A66="B Grade",6,IF(A66="C Grade",8,IF(A66="D Grade",10,12)))))</f>
        <v>500</v>
      </c>
      <c r="O66" s="81"/>
      <c r="P66" s="81"/>
      <c r="Q66" s="81"/>
      <c r="R66" s="81"/>
      <c r="S66" s="81"/>
      <c r="T66" s="81"/>
      <c r="U66" s="82"/>
      <c r="V66" s="81"/>
    </row>
    <row r="67" spans="1:22" ht="17" customHeight="1" x14ac:dyDescent="0.2">
      <c r="A67" s="65" t="s">
        <v>41</v>
      </c>
      <c r="B67" s="65" t="s">
        <v>47</v>
      </c>
      <c r="C67" s="62">
        <v>1</v>
      </c>
      <c r="D67" s="66" t="s">
        <v>60</v>
      </c>
      <c r="E67" s="62" t="s">
        <v>61</v>
      </c>
      <c r="F67" s="144" t="s">
        <v>177</v>
      </c>
      <c r="G67" s="124">
        <v>6</v>
      </c>
      <c r="H67" s="142">
        <v>0.83472222222222225</v>
      </c>
      <c r="I67" s="55">
        <f>VLOOKUP(C67,'Points Table'!A$3:L$43,IF(A67="A Grade / Juniors",4,IF(A67="B Grade",6,IF(A67="C Grade",8,IF(A67="D Grade",10,12)))))</f>
        <v>500</v>
      </c>
      <c r="O67" s="81"/>
      <c r="P67" s="81"/>
      <c r="Q67" s="81"/>
      <c r="R67" s="81"/>
      <c r="S67" s="81"/>
      <c r="T67" s="81"/>
      <c r="U67" s="83"/>
      <c r="V67"/>
    </row>
    <row r="68" spans="1:22" ht="17" customHeight="1" x14ac:dyDescent="0.2">
      <c r="A68" s="65" t="s">
        <v>41</v>
      </c>
      <c r="B68" s="65" t="s">
        <v>47</v>
      </c>
      <c r="C68" s="62">
        <v>2</v>
      </c>
      <c r="D68" s="66" t="s">
        <v>62</v>
      </c>
      <c r="E68" s="62" t="s">
        <v>61</v>
      </c>
      <c r="F68" s="144" t="s">
        <v>218</v>
      </c>
      <c r="G68" s="124">
        <v>4</v>
      </c>
      <c r="H68" s="142">
        <v>0.83750000000000002</v>
      </c>
      <c r="I68" s="55">
        <f>VLOOKUP(C68,'Points Table'!A$3:L$43,IF(A68="A Grade / Juniors",4,IF(A68="B Grade",6,IF(A68="C Grade",8,IF(A68="D Grade",10,12)))))</f>
        <v>450</v>
      </c>
      <c r="S68" s="113"/>
      <c r="T68" s="67"/>
      <c r="U68" s="116"/>
    </row>
    <row r="69" spans="1:22" ht="17" customHeight="1" x14ac:dyDescent="0.2">
      <c r="A69" s="65" t="s">
        <v>41</v>
      </c>
      <c r="B69" s="65" t="s">
        <v>47</v>
      </c>
      <c r="C69" s="62">
        <v>3</v>
      </c>
      <c r="D69" s="66" t="s">
        <v>63</v>
      </c>
      <c r="E69" s="62" t="s">
        <v>61</v>
      </c>
      <c r="F69" s="144" t="s">
        <v>260</v>
      </c>
      <c r="G69" s="124">
        <v>4</v>
      </c>
      <c r="H69" s="142">
        <v>0.85624999999999996</v>
      </c>
      <c r="I69" s="55">
        <f>VLOOKUP(C69,'Points Table'!A$3:L$43,IF(A69="A Grade / Juniors",4,IF(A69="B Grade",6,IF(A69="C Grade",8,IF(A69="D Grade",10,12)))))</f>
        <v>420</v>
      </c>
    </row>
    <row r="70" spans="1:22" ht="17" customHeight="1" x14ac:dyDescent="0.2">
      <c r="A70" s="65" t="s">
        <v>41</v>
      </c>
      <c r="B70" s="65" t="s">
        <v>85</v>
      </c>
      <c r="C70" s="62">
        <v>1</v>
      </c>
      <c r="D70" s="66" t="s">
        <v>60</v>
      </c>
      <c r="E70" s="62" t="s">
        <v>61</v>
      </c>
      <c r="F70" s="144" t="s">
        <v>261</v>
      </c>
      <c r="G70" s="124">
        <v>4</v>
      </c>
      <c r="H70" s="142">
        <v>0.81180555555555556</v>
      </c>
      <c r="I70" s="55">
        <f>VLOOKUP(C70,'Points Table'!A$3:L$43,IF(A70="A Grade / Juniors",4,IF(A70="B Grade",6,IF(A70="C Grade",8,IF(A70="D Grade",10,12)))))</f>
        <v>500</v>
      </c>
    </row>
    <row r="71" spans="1:22" ht="17" customHeight="1" x14ac:dyDescent="0.2">
      <c r="A71" s="65" t="s">
        <v>41</v>
      </c>
      <c r="B71" s="65" t="s">
        <v>85</v>
      </c>
      <c r="C71" s="62">
        <v>2</v>
      </c>
      <c r="D71" s="66" t="s">
        <v>62</v>
      </c>
      <c r="E71" s="62" t="s">
        <v>61</v>
      </c>
      <c r="F71" s="144" t="s">
        <v>262</v>
      </c>
      <c r="G71" s="124">
        <v>4</v>
      </c>
      <c r="H71" s="142">
        <v>0.86805555555555558</v>
      </c>
      <c r="I71" s="55">
        <f>VLOOKUP(C71,'Points Table'!A$3:L$43,IF(A71="A Grade / Juniors",4,IF(A71="B Grade",6,IF(A71="C Grade",8,IF(A71="D Grade",10,12)))))</f>
        <v>450</v>
      </c>
    </row>
    <row r="72" spans="1:22" ht="17" customHeight="1" x14ac:dyDescent="0.2">
      <c r="A72" s="65" t="s">
        <v>41</v>
      </c>
      <c r="B72" s="65" t="s">
        <v>85</v>
      </c>
      <c r="C72" s="62">
        <v>3</v>
      </c>
      <c r="D72" s="66" t="s">
        <v>63</v>
      </c>
      <c r="E72" s="62" t="s">
        <v>61</v>
      </c>
      <c r="F72" s="144" t="s">
        <v>263</v>
      </c>
      <c r="G72" s="124">
        <v>4</v>
      </c>
      <c r="H72" s="142">
        <v>0.90555555555555556</v>
      </c>
      <c r="I72" s="55">
        <f>VLOOKUP(C72,'Points Table'!A$3:L$43,IF(A72="A Grade / Juniors",4,IF(A72="B Grade",6,IF(A72="C Grade",8,IF(A72="D Grade",10,12)))))</f>
        <v>420</v>
      </c>
    </row>
    <row r="73" spans="1:22" ht="17" customHeight="1" x14ac:dyDescent="0.2">
      <c r="A73" s="65" t="s">
        <v>41</v>
      </c>
      <c r="B73" s="65" t="s">
        <v>48</v>
      </c>
      <c r="C73" s="62">
        <v>1</v>
      </c>
      <c r="D73" s="66" t="s">
        <v>60</v>
      </c>
      <c r="E73" s="62" t="s">
        <v>61</v>
      </c>
      <c r="F73" s="144" t="s">
        <v>190</v>
      </c>
      <c r="G73" s="124">
        <v>5</v>
      </c>
      <c r="H73" s="142">
        <v>0.88611111111111107</v>
      </c>
      <c r="I73" s="55">
        <f>VLOOKUP(C73,'Points Table'!A$3:L$43,IF(A73="A Grade / Juniors",4,IF(A73="B Grade",6,IF(A73="C Grade",8,IF(A73="D Grade",10,12)))))</f>
        <v>500</v>
      </c>
    </row>
    <row r="74" spans="1:22" ht="17" customHeight="1" x14ac:dyDescent="0.2">
      <c r="A74" s="65" t="s">
        <v>41</v>
      </c>
      <c r="B74" s="65" t="s">
        <v>48</v>
      </c>
      <c r="C74" s="62">
        <v>2</v>
      </c>
      <c r="D74" s="66" t="s">
        <v>62</v>
      </c>
      <c r="E74" s="62" t="s">
        <v>61</v>
      </c>
      <c r="F74" s="144" t="s">
        <v>197</v>
      </c>
      <c r="G74" s="124">
        <v>5</v>
      </c>
      <c r="H74" s="142">
        <v>0.94513888888888886</v>
      </c>
      <c r="I74" s="55">
        <f>VLOOKUP(C74,'Points Table'!A$3:L$43,IF(A74="A Grade / Juniors",4,IF(A74="B Grade",6,IF(A74="C Grade",8,IF(A74="D Grade",10,12)))))</f>
        <v>450</v>
      </c>
    </row>
    <row r="75" spans="1:22" ht="17" customHeight="1" x14ac:dyDescent="0.2">
      <c r="A75" s="65" t="s">
        <v>41</v>
      </c>
      <c r="B75" s="65" t="s">
        <v>48</v>
      </c>
      <c r="C75" s="62">
        <v>3</v>
      </c>
      <c r="D75" s="66" t="s">
        <v>63</v>
      </c>
      <c r="E75" s="62" t="s">
        <v>61</v>
      </c>
      <c r="F75" s="144" t="s">
        <v>264</v>
      </c>
      <c r="G75" s="124">
        <v>4</v>
      </c>
      <c r="H75" s="142">
        <v>0.79236111111111107</v>
      </c>
      <c r="I75" s="55">
        <f>VLOOKUP(C75,'Points Table'!A$3:L$43,IF(A75="A Grade / Juniors",4,IF(A75="B Grade",6,IF(A75="C Grade",8,IF(A75="D Grade",10,12)))))</f>
        <v>420</v>
      </c>
    </row>
    <row r="76" spans="1:22" ht="17" customHeight="1" x14ac:dyDescent="0.2">
      <c r="A76" s="65" t="s">
        <v>41</v>
      </c>
      <c r="B76" s="65" t="s">
        <v>48</v>
      </c>
      <c r="C76" s="62">
        <v>4</v>
      </c>
      <c r="D76" s="66" t="s">
        <v>64</v>
      </c>
      <c r="E76" s="62" t="s">
        <v>61</v>
      </c>
      <c r="F76" s="144" t="s">
        <v>265</v>
      </c>
      <c r="G76" s="124">
        <v>4</v>
      </c>
      <c r="H76" s="142">
        <v>1.0097222222222222</v>
      </c>
      <c r="I76" s="55">
        <f>VLOOKUP(C76,'Points Table'!A$3:L$43,IF(A76="A Grade / Juniors",4,IF(A76="B Grade",6,IF(A76="C Grade",8,IF(A76="D Grade",10,12)))))</f>
        <v>400</v>
      </c>
    </row>
    <row r="77" spans="1:22" ht="17" customHeight="1" x14ac:dyDescent="0.2">
      <c r="A77" s="65" t="s">
        <v>41</v>
      </c>
      <c r="B77" s="65" t="s">
        <v>48</v>
      </c>
      <c r="C77" s="62">
        <v>5</v>
      </c>
      <c r="D77" s="66" t="s">
        <v>65</v>
      </c>
      <c r="E77" s="62" t="s">
        <v>61</v>
      </c>
      <c r="F77" s="144" t="s">
        <v>266</v>
      </c>
      <c r="G77" s="124">
        <v>3</v>
      </c>
      <c r="H77" s="142">
        <v>0.81805555555555554</v>
      </c>
      <c r="I77" s="55">
        <f>VLOOKUP(C77,'Points Table'!A$3:L$43,IF(A77="A Grade / Juniors",4,IF(A77="B Grade",6,IF(A77="C Grade",8,IF(A77="D Grade",10,12)))))</f>
        <v>390</v>
      </c>
    </row>
    <row r="79" spans="1:22" x14ac:dyDescent="0.2">
      <c r="F79" s="149"/>
    </row>
  </sheetData>
  <phoneticPr fontId="1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AF60"/>
  <sheetViews>
    <sheetView workbookViewId="0">
      <selection activeCell="O27" sqref="O27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0.66406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2" width="8.83203125" style="62"/>
    <col min="13" max="20" width="9.33203125" style="62" customWidth="1"/>
    <col min="21" max="24" width="8.83203125" style="62" customWidth="1"/>
    <col min="25" max="26" width="8.83203125" style="62"/>
    <col min="27" max="27" width="31.5" style="62" customWidth="1"/>
    <col min="28" max="28" width="25" style="62" customWidth="1"/>
    <col min="29" max="29" width="8.83203125" style="62"/>
    <col min="30" max="30" width="21.83203125" style="62" customWidth="1"/>
    <col min="31" max="16384" width="8.83203125" style="62"/>
  </cols>
  <sheetData>
    <row r="1" spans="1:32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2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H2" s="150"/>
      <c r="I2" s="55">
        <f>VLOOKUP(C2,'Points Table'!A$3:L$43,IF(A2="A Grade / Juniors",4,IF(A2="B Grade",6,IF(A2="C Grade",8,IF(A2="D Grade",10,12)))))</f>
        <v>500</v>
      </c>
      <c r="P2"/>
      <c r="Q2"/>
      <c r="R2" s="112"/>
      <c r="S2" s="112"/>
      <c r="T2" s="113"/>
      <c r="U2" s="113"/>
      <c r="V2" s="113"/>
      <c r="W2" s="113"/>
      <c r="X2" s="113"/>
      <c r="Y2" s="67"/>
      <c r="Z2" s="116"/>
      <c r="AA2" s="116"/>
      <c r="AB2" s="116"/>
      <c r="AC2" s="116"/>
      <c r="AD2" s="116"/>
    </row>
    <row r="3" spans="1:32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H3" s="150"/>
      <c r="I3" s="55">
        <f>VLOOKUP(C3,'Points Table'!A$3:L$43,IF(A3="A Grade / Juniors",4,IF(A3="B Grade",6,IF(A3="C Grade",8,IF(A3="D Grade",10,12)))))</f>
        <v>450</v>
      </c>
      <c r="P3"/>
      <c r="Q3"/>
      <c r="R3" s="136"/>
      <c r="S3" s="136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50"/>
      <c r="AF3" s="150"/>
    </row>
    <row r="4" spans="1:32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H4" s="150"/>
      <c r="I4" s="55">
        <f>VLOOKUP(C4,'Points Table'!A$3:L$43,IF(A4="A Grade / Juniors",4,IF(A4="B Grade",6,IF(A4="C Grade",8,IF(A4="D Grade",10,12)))))</f>
        <v>420</v>
      </c>
      <c r="P4"/>
      <c r="Q4"/>
      <c r="R4" s="136"/>
      <c r="S4" s="136"/>
      <c r="T4" s="124"/>
      <c r="U4" s="124"/>
      <c r="V4" s="124"/>
      <c r="W4" s="124"/>
      <c r="X4" s="124"/>
      <c r="Y4" s="123"/>
      <c r="Z4" s="112"/>
      <c r="AA4" s="112"/>
      <c r="AB4" s="112"/>
      <c r="AC4" s="112"/>
      <c r="AD4" s="112"/>
      <c r="AE4" s="150"/>
      <c r="AF4" s="150"/>
    </row>
    <row r="5" spans="1:32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H5" s="150"/>
      <c r="I5" s="55">
        <f>VLOOKUP(C5,'Points Table'!A$3:L$43,IF(A5="A Grade / Juniors",4,IF(A5="B Grade",6,IF(A5="C Grade",8,IF(A5="D Grade",10,12)))))</f>
        <v>400</v>
      </c>
      <c r="P5"/>
      <c r="Q5"/>
      <c r="R5" s="136"/>
      <c r="S5" s="136"/>
      <c r="T5" s="124"/>
      <c r="U5" s="124"/>
      <c r="V5" s="124"/>
      <c r="W5" s="124"/>
      <c r="X5" s="124"/>
      <c r="Y5" s="123"/>
      <c r="Z5" s="112"/>
      <c r="AA5" s="112"/>
      <c r="AB5" s="112"/>
      <c r="AC5" s="112"/>
      <c r="AD5" s="112"/>
      <c r="AE5" s="150"/>
      <c r="AF5" s="150"/>
    </row>
    <row r="6" spans="1:32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H6" s="150"/>
      <c r="I6" s="55">
        <f>VLOOKUP(C6,'Points Table'!A$3:L$43,IF(A6="A Grade / Juniors",4,IF(A6="B Grade",6,IF(A6="C Grade",8,IF(A6="D Grade",10,12)))))</f>
        <v>390</v>
      </c>
      <c r="P6"/>
      <c r="Q6"/>
      <c r="R6" s="136"/>
      <c r="S6" s="136"/>
      <c r="T6" s="124"/>
      <c r="U6" s="124"/>
      <c r="V6" s="124"/>
      <c r="W6" s="124"/>
      <c r="X6" s="124"/>
      <c r="Y6" s="123"/>
      <c r="Z6" s="112"/>
      <c r="AA6" s="112"/>
      <c r="AB6" s="112"/>
      <c r="AC6" s="112"/>
      <c r="AD6" s="112"/>
      <c r="AE6" s="150"/>
      <c r="AF6" s="150"/>
    </row>
    <row r="7" spans="1:32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H7" s="150"/>
      <c r="I7" s="55">
        <f>VLOOKUP(C7,'Points Table'!A$3:L$43,IF(A7="A Grade / Juniors",4,IF(A7="B Grade",6,IF(A7="C Grade",8,IF(A7="D Grade",10,12)))))</f>
        <v>380</v>
      </c>
      <c r="P7"/>
      <c r="Q7"/>
      <c r="R7" s="136"/>
      <c r="S7" s="136"/>
      <c r="T7" s="124"/>
      <c r="U7" s="124"/>
      <c r="V7" s="124"/>
      <c r="W7" s="124"/>
      <c r="X7" s="124"/>
      <c r="Y7" s="123"/>
      <c r="Z7" s="112"/>
      <c r="AA7" s="112"/>
      <c r="AB7" s="112"/>
      <c r="AC7" s="112"/>
      <c r="AD7" s="112"/>
      <c r="AE7" s="150"/>
      <c r="AF7" s="150"/>
    </row>
    <row r="8" spans="1:32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H8" s="150"/>
      <c r="I8" s="55">
        <f>VLOOKUP(C8,'Points Table'!A$3:L$43,IF(A8="A Grade / Juniors",4,IF(A8="B Grade",6,IF(A8="C Grade",8,IF(A8="D Grade",10,12)))))</f>
        <v>370</v>
      </c>
      <c r="P8"/>
      <c r="Q8"/>
      <c r="R8" s="136"/>
      <c r="S8" s="136"/>
      <c r="T8" s="124"/>
      <c r="U8" s="124"/>
      <c r="V8" s="124"/>
      <c r="W8" s="124"/>
      <c r="X8" s="124"/>
      <c r="Y8" s="123"/>
      <c r="Z8" s="112"/>
      <c r="AA8" s="112"/>
      <c r="AB8" s="112"/>
      <c r="AC8" s="112"/>
      <c r="AD8" s="112"/>
      <c r="AE8" s="150"/>
      <c r="AF8" s="150"/>
    </row>
    <row r="9" spans="1:32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H9" s="150"/>
      <c r="I9" s="55">
        <f>VLOOKUP(C9,'Points Table'!A$3:L$43,IF(A9="A Grade / Juniors",4,IF(A9="B Grade",6,IF(A9="C Grade",8,IF(A9="D Grade",10,12)))))</f>
        <v>360</v>
      </c>
      <c r="P9"/>
      <c r="Q9"/>
      <c r="R9" s="136"/>
      <c r="S9" s="136"/>
      <c r="T9" s="124"/>
      <c r="U9" s="124"/>
      <c r="V9" s="124"/>
      <c r="W9" s="124"/>
      <c r="X9" s="124"/>
      <c r="Y9" s="123"/>
      <c r="Z9" s="112"/>
      <c r="AA9" s="112"/>
      <c r="AB9" s="112"/>
      <c r="AC9" s="112"/>
      <c r="AD9" s="112"/>
      <c r="AE9" s="150"/>
      <c r="AF9" s="150"/>
    </row>
    <row r="10" spans="1:32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H10" s="150"/>
      <c r="I10" s="55">
        <f>VLOOKUP(C10,'Points Table'!A$3:L$43,IF(A10="A Grade / Juniors",4,IF(A10="B Grade",6,IF(A10="C Grade",8,IF(A10="D Grade",10,12)))))</f>
        <v>350</v>
      </c>
      <c r="P10"/>
      <c r="Q10"/>
      <c r="R10" s="136"/>
      <c r="S10" s="136"/>
      <c r="T10" s="124"/>
      <c r="U10" s="124"/>
      <c r="V10" s="124"/>
      <c r="W10" s="124"/>
      <c r="X10" s="124"/>
      <c r="Y10" s="123"/>
      <c r="Z10" s="112"/>
      <c r="AA10" s="112"/>
      <c r="AB10" s="112"/>
      <c r="AC10" s="112"/>
      <c r="AD10" s="112"/>
      <c r="AE10" s="150"/>
      <c r="AF10" s="150"/>
    </row>
    <row r="11" spans="1:32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/>
      <c r="H11" s="150"/>
      <c r="I11" s="55">
        <f>VLOOKUP(C11,'Points Table'!A$3:L$43,IF(A11="A Grade / Juniors",4,IF(A11="B Grade",6,IF(A11="C Grade",8,IF(A11="D Grade",10,12)))))</f>
        <v>340</v>
      </c>
      <c r="P11"/>
      <c r="Q11"/>
      <c r="R11" s="136"/>
      <c r="S11" s="136"/>
      <c r="T11" s="124"/>
      <c r="U11" s="124"/>
      <c r="V11" s="124"/>
      <c r="W11" s="124"/>
      <c r="X11" s="124"/>
      <c r="Y11" s="123"/>
      <c r="Z11" s="112"/>
      <c r="AA11" s="112"/>
      <c r="AB11" s="112"/>
      <c r="AC11" s="112"/>
      <c r="AD11" s="112"/>
      <c r="AE11" s="150"/>
      <c r="AF11" s="150"/>
    </row>
    <row r="12" spans="1:32" ht="17" customHeight="1" x14ac:dyDescent="0.2">
      <c r="A12" s="65" t="s">
        <v>59</v>
      </c>
      <c r="B12" s="65" t="s">
        <v>34</v>
      </c>
      <c r="C12" s="62">
        <v>11</v>
      </c>
      <c r="D12" s="66" t="s">
        <v>71</v>
      </c>
      <c r="E12" s="62" t="s">
        <v>61</v>
      </c>
      <c r="F12" s="112"/>
      <c r="H12" s="150"/>
      <c r="I12" s="55">
        <f>VLOOKUP(C12,'Points Table'!A$3:L$43,IF(A12="A Grade / Juniors",4,IF(A12="B Grade",6,IF(A12="C Grade",8,IF(A12="D Grade",10,12)))))</f>
        <v>330</v>
      </c>
      <c r="P12"/>
      <c r="Q12"/>
      <c r="R12" s="136"/>
      <c r="S12" s="136"/>
      <c r="T12" s="124"/>
      <c r="U12" s="124"/>
      <c r="V12" s="124"/>
      <c r="W12" s="124"/>
      <c r="X12" s="124"/>
      <c r="Y12" s="123"/>
      <c r="Z12" s="112"/>
      <c r="AA12" s="112"/>
      <c r="AB12" s="112"/>
      <c r="AC12" s="112"/>
      <c r="AD12" s="151"/>
      <c r="AF12" s="150"/>
    </row>
    <row r="13" spans="1:32" ht="17" customHeight="1" x14ac:dyDescent="0.2">
      <c r="A13" s="65" t="s">
        <v>59</v>
      </c>
      <c r="B13" s="65" t="s">
        <v>34</v>
      </c>
      <c r="C13" s="62">
        <v>12</v>
      </c>
      <c r="D13" s="66" t="s">
        <v>72</v>
      </c>
      <c r="E13" s="62" t="s">
        <v>61</v>
      </c>
      <c r="F13" s="112"/>
      <c r="H13" s="150"/>
      <c r="I13" s="55">
        <f>VLOOKUP(C13,'Points Table'!A$3:L$43,IF(A13="A Grade / Juniors",4,IF(A13="B Grade",6,IF(A13="C Grade",8,IF(A13="D Grade",10,12)))))</f>
        <v>320</v>
      </c>
      <c r="P13"/>
      <c r="Q13"/>
      <c r="R13" s="136"/>
      <c r="S13" s="136"/>
      <c r="T13" s="124"/>
      <c r="U13" s="124"/>
      <c r="V13" s="124"/>
      <c r="W13" s="124"/>
      <c r="X13" s="124"/>
      <c r="Y13" s="123"/>
      <c r="Z13" s="112"/>
      <c r="AA13" s="112"/>
      <c r="AB13" s="112"/>
      <c r="AC13" s="112"/>
      <c r="AD13" s="151"/>
      <c r="AF13" s="150"/>
    </row>
    <row r="14" spans="1:32" ht="17" customHeight="1" x14ac:dyDescent="0.2">
      <c r="A14" s="65" t="s">
        <v>19</v>
      </c>
      <c r="B14" s="65" t="s">
        <v>35</v>
      </c>
      <c r="C14" s="62">
        <v>1</v>
      </c>
      <c r="D14" s="66" t="s">
        <v>60</v>
      </c>
      <c r="E14" s="62" t="s">
        <v>61</v>
      </c>
      <c r="F14" s="112"/>
      <c r="G14" s="124"/>
      <c r="H14" s="150"/>
      <c r="I14" s="55">
        <f>VLOOKUP(C14,'Points Table'!A$3:L$43,IF(A14="A Grade / Juniors",4,IF(A14="B Grade",6,IF(A14="C Grade",8,IF(A14="D Grade",10,12)))))</f>
        <v>375</v>
      </c>
      <c r="P14"/>
      <c r="Q14"/>
      <c r="R14" s="136"/>
      <c r="S14" s="136"/>
      <c r="T14" s="124"/>
      <c r="U14" s="124"/>
      <c r="V14" s="124"/>
      <c r="W14" s="124"/>
      <c r="X14" s="124"/>
      <c r="Y14" s="123"/>
      <c r="Z14" s="112"/>
      <c r="AA14" s="112"/>
      <c r="AB14" s="112"/>
      <c r="AC14" s="112"/>
      <c r="AD14" s="151"/>
      <c r="AF14" s="150"/>
    </row>
    <row r="15" spans="1:32" ht="17" customHeight="1" x14ac:dyDescent="0.2">
      <c r="A15" s="65" t="s">
        <v>19</v>
      </c>
      <c r="B15" s="65" t="s">
        <v>35</v>
      </c>
      <c r="C15" s="62">
        <v>2</v>
      </c>
      <c r="D15" s="66" t="s">
        <v>62</v>
      </c>
      <c r="E15" s="62" t="s">
        <v>61</v>
      </c>
      <c r="F15" s="112"/>
      <c r="G15" s="124"/>
      <c r="H15" s="150"/>
      <c r="I15" s="55">
        <f>VLOOKUP(C15,'Points Table'!A$3:L$43,IF(A15="A Grade / Juniors",4,IF(A15="B Grade",6,IF(A15="C Grade",8,IF(A15="D Grade",10,12)))))</f>
        <v>337.5</v>
      </c>
      <c r="P15"/>
      <c r="Q15"/>
      <c r="R15" s="136"/>
      <c r="S15" s="136"/>
      <c r="T15" s="124"/>
      <c r="U15" s="124"/>
      <c r="V15" s="124"/>
      <c r="W15" s="124"/>
      <c r="X15" s="124"/>
      <c r="Y15" s="123"/>
      <c r="Z15" s="112"/>
      <c r="AA15" s="112"/>
      <c r="AB15" s="112"/>
      <c r="AC15" s="112"/>
      <c r="AD15" s="151"/>
    </row>
    <row r="16" spans="1:32" ht="17" customHeight="1" x14ac:dyDescent="0.2">
      <c r="A16" s="65" t="s">
        <v>19</v>
      </c>
      <c r="B16" s="65" t="s">
        <v>35</v>
      </c>
      <c r="C16" s="62">
        <v>3</v>
      </c>
      <c r="D16" s="66" t="s">
        <v>63</v>
      </c>
      <c r="E16" s="62" t="s">
        <v>61</v>
      </c>
      <c r="F16" s="112"/>
      <c r="G16" s="124"/>
      <c r="H16" s="150"/>
      <c r="I16" s="55">
        <f>VLOOKUP(C16,'Points Table'!A$3:L$43,IF(A16="A Grade / Juniors",4,IF(A16="B Grade",6,IF(A16="C Grade",8,IF(A16="D Grade",10,12)))))</f>
        <v>315</v>
      </c>
      <c r="P16"/>
      <c r="Q16"/>
      <c r="R16" s="136"/>
      <c r="S16" s="136"/>
      <c r="T16" s="124"/>
      <c r="U16" s="124"/>
      <c r="V16" s="124"/>
      <c r="W16" s="124"/>
      <c r="X16" s="124"/>
      <c r="Y16" s="123"/>
      <c r="Z16" s="112"/>
      <c r="AA16" s="112"/>
      <c r="AB16" s="112"/>
      <c r="AC16" s="112"/>
      <c r="AD16" s="150"/>
    </row>
    <row r="17" spans="1:32" ht="17" customHeight="1" x14ac:dyDescent="0.2">
      <c r="A17" s="65" t="s">
        <v>19</v>
      </c>
      <c r="B17" s="65" t="s">
        <v>35</v>
      </c>
      <c r="C17" s="62">
        <v>4</v>
      </c>
      <c r="D17" s="66" t="s">
        <v>64</v>
      </c>
      <c r="E17" s="62" t="s">
        <v>61</v>
      </c>
      <c r="F17" s="112"/>
      <c r="G17" s="124"/>
      <c r="H17" s="150"/>
      <c r="I17" s="55">
        <f>VLOOKUP(C17,'Points Table'!A$3:L$43,IF(A17="A Grade / Juniors",4,IF(A17="B Grade",6,IF(A17="C Grade",8,IF(A17="D Grade",10,12)))))</f>
        <v>300</v>
      </c>
      <c r="P17"/>
      <c r="Q17"/>
      <c r="R17" s="136"/>
      <c r="S17" s="136"/>
      <c r="T17" s="124"/>
      <c r="U17" s="124"/>
      <c r="V17" s="124"/>
      <c r="W17" s="124"/>
      <c r="X17" s="124"/>
      <c r="Y17" s="123"/>
      <c r="Z17" s="112"/>
      <c r="AA17" s="112"/>
      <c r="AB17" s="112"/>
      <c r="AC17" s="112"/>
      <c r="AD17" s="151"/>
    </row>
    <row r="18" spans="1:32" ht="17" customHeight="1" x14ac:dyDescent="0.2">
      <c r="A18" s="65" t="s">
        <v>19</v>
      </c>
      <c r="B18" s="65" t="s">
        <v>35</v>
      </c>
      <c r="C18" s="62">
        <v>5</v>
      </c>
      <c r="D18" s="66" t="s">
        <v>65</v>
      </c>
      <c r="E18" s="62" t="s">
        <v>61</v>
      </c>
      <c r="F18" s="112"/>
      <c r="G18" s="124"/>
      <c r="H18" s="150"/>
      <c r="I18" s="55">
        <f>VLOOKUP(C18,'Points Table'!A$3:L$43,IF(A18="A Grade / Juniors",4,IF(A18="B Grade",6,IF(A18="C Grade",8,IF(A18="D Grade",10,12)))))</f>
        <v>292.5</v>
      </c>
      <c r="P18"/>
      <c r="Q18"/>
      <c r="R18" s="136"/>
      <c r="S18" s="136"/>
      <c r="T18" s="124"/>
      <c r="U18" s="124"/>
      <c r="V18" s="124"/>
      <c r="W18" s="124"/>
      <c r="X18" s="124"/>
      <c r="Y18" s="123"/>
      <c r="Z18" s="112"/>
      <c r="AA18" s="112"/>
      <c r="AB18" s="112"/>
      <c r="AC18" s="112"/>
      <c r="AD18" s="151"/>
    </row>
    <row r="19" spans="1:32" ht="17" customHeight="1" x14ac:dyDescent="0.2">
      <c r="A19" s="65" t="s">
        <v>19</v>
      </c>
      <c r="B19" s="65" t="s">
        <v>35</v>
      </c>
      <c r="C19" s="62">
        <v>6</v>
      </c>
      <c r="D19" s="66" t="s">
        <v>66</v>
      </c>
      <c r="E19" s="62" t="s">
        <v>61</v>
      </c>
      <c r="F19" s="112"/>
      <c r="G19" s="124"/>
      <c r="H19" s="150"/>
      <c r="I19" s="55">
        <f>VLOOKUP(C19,'Points Table'!A$3:L$43,IF(A19="A Grade / Juniors",4,IF(A19="B Grade",6,IF(A19="C Grade",8,IF(A19="D Grade",10,12)))))</f>
        <v>285</v>
      </c>
      <c r="P19"/>
      <c r="Q19"/>
      <c r="R19" s="136"/>
      <c r="S19" s="136"/>
      <c r="T19" s="124"/>
      <c r="U19" s="124"/>
      <c r="V19" s="124"/>
      <c r="W19" s="124"/>
      <c r="X19" s="124"/>
      <c r="Y19" s="123"/>
      <c r="Z19" s="112"/>
      <c r="AA19" s="112"/>
      <c r="AB19" s="112"/>
      <c r="AC19" s="112"/>
      <c r="AD19" s="151"/>
    </row>
    <row r="20" spans="1:32" ht="17" customHeight="1" x14ac:dyDescent="0.2">
      <c r="A20" s="65" t="s">
        <v>19</v>
      </c>
      <c r="B20" s="65" t="s">
        <v>35</v>
      </c>
      <c r="C20" s="62">
        <v>7</v>
      </c>
      <c r="D20" s="66" t="s">
        <v>67</v>
      </c>
      <c r="E20" s="62" t="s">
        <v>61</v>
      </c>
      <c r="F20" s="112"/>
      <c r="G20" s="124"/>
      <c r="H20" s="150"/>
      <c r="I20" s="55">
        <f>VLOOKUP(C20,'Points Table'!A$3:L$43,IF(A20="A Grade / Juniors",4,IF(A20="B Grade",6,IF(A20="C Grade",8,IF(A20="D Grade",10,12)))))</f>
        <v>277.5</v>
      </c>
      <c r="P20"/>
      <c r="Q20"/>
      <c r="R20" s="136"/>
      <c r="S20" s="136"/>
      <c r="T20" s="124"/>
      <c r="U20" s="124"/>
      <c r="V20" s="124"/>
      <c r="W20" s="124"/>
      <c r="X20" s="124"/>
      <c r="Y20" s="130"/>
      <c r="Z20" s="130"/>
      <c r="AA20" s="130"/>
      <c r="AB20" s="112"/>
      <c r="AC20" s="130"/>
      <c r="AD20" s="152"/>
    </row>
    <row r="21" spans="1:32" ht="17" customHeight="1" x14ac:dyDescent="0.2">
      <c r="A21" s="65" t="s">
        <v>19</v>
      </c>
      <c r="B21" s="65" t="s">
        <v>35</v>
      </c>
      <c r="C21" s="62">
        <v>8</v>
      </c>
      <c r="D21" s="66" t="s">
        <v>68</v>
      </c>
      <c r="E21" s="62" t="s">
        <v>61</v>
      </c>
      <c r="F21" s="112"/>
      <c r="G21" s="124"/>
      <c r="H21" s="150"/>
      <c r="I21" s="55">
        <f>VLOOKUP(C21,'Points Table'!A$3:L$43,IF(A21="A Grade / Juniors",4,IF(A21="B Grade",6,IF(A21="C Grade",8,IF(A21="D Grade",10,12)))))</f>
        <v>270</v>
      </c>
      <c r="P21"/>
      <c r="Q21"/>
      <c r="R21" s="136"/>
      <c r="S21" s="136"/>
      <c r="T21" s="117"/>
      <c r="U21" s="117"/>
      <c r="V21" s="117"/>
      <c r="W21" s="117"/>
      <c r="X21" s="117"/>
      <c r="Y21" s="118"/>
      <c r="AB21" s="112"/>
      <c r="AD21" s="150"/>
    </row>
    <row r="22" spans="1:32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/>
      <c r="G22" s="124"/>
      <c r="H22" s="150"/>
      <c r="I22" s="55">
        <f>VLOOKUP(C22,'Points Table'!A$3:L$43,IF(A22="A Grade / Juniors",4,IF(A22="B Grade",6,IF(A22="C Grade",8,IF(A22="D Grade",10,12)))))</f>
        <v>350</v>
      </c>
      <c r="P22"/>
      <c r="Q22"/>
      <c r="R22" s="136"/>
      <c r="S22" s="136"/>
      <c r="AB22" s="112"/>
      <c r="AD22" s="150"/>
    </row>
    <row r="23" spans="1:32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/>
      <c r="G23" s="124"/>
      <c r="H23" s="150"/>
      <c r="I23" s="55">
        <f>VLOOKUP(C23,'Points Table'!A$3:L$43,IF(A23="A Grade / Juniors",4,IF(A23="B Grade",6,IF(A23="C Grade",8,IF(A23="D Grade",10,12)))))</f>
        <v>315</v>
      </c>
      <c r="P23"/>
      <c r="Q23"/>
      <c r="R23" s="136"/>
      <c r="S23" s="136"/>
      <c r="AB23" s="112"/>
      <c r="AD23" s="150"/>
    </row>
    <row r="24" spans="1:32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/>
      <c r="G24" s="124"/>
      <c r="H24" s="150"/>
      <c r="I24" s="55">
        <f>VLOOKUP(C24,'Points Table'!A$3:L$43,IF(A24="A Grade / Juniors",4,IF(A24="B Grade",6,IF(A24="C Grade",8,IF(A24="D Grade",10,12)))))</f>
        <v>294</v>
      </c>
      <c r="P24"/>
      <c r="Q24"/>
      <c r="R24" s="136"/>
      <c r="S24" s="136"/>
      <c r="T24" s="64"/>
      <c r="U24" s="64"/>
      <c r="V24" s="64"/>
      <c r="W24" s="64"/>
      <c r="X24" s="64"/>
      <c r="Y24" s="118"/>
      <c r="AB24" s="112"/>
      <c r="AD24" s="150"/>
      <c r="AF24" s="119"/>
    </row>
    <row r="25" spans="1:32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/>
      <c r="G25" s="124"/>
      <c r="H25" s="150"/>
      <c r="I25" s="55">
        <f>VLOOKUP(C25,'Points Table'!A$3:L$43,IF(A25="A Grade / Juniors",4,IF(A25="B Grade",6,IF(A25="C Grade",8,IF(A25="D Grade",10,12)))))</f>
        <v>280</v>
      </c>
      <c r="P25"/>
      <c r="Q25"/>
      <c r="R25" s="136"/>
      <c r="S25" s="136"/>
      <c r="T25" s="64"/>
      <c r="U25" s="64"/>
      <c r="V25" s="64"/>
      <c r="W25" s="64"/>
      <c r="X25" s="64"/>
      <c r="Y25" s="118"/>
      <c r="AB25" s="112"/>
      <c r="AD25" s="150"/>
      <c r="AF25" s="119"/>
    </row>
    <row r="26" spans="1:32" ht="17" customHeight="1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/>
      <c r="G26" s="124"/>
      <c r="H26" s="150"/>
      <c r="I26" s="55">
        <f>VLOOKUP(C26,'Points Table'!A$3:L$43,IF(A26="A Grade / Juniors",4,IF(A26="B Grade",6,IF(A26="C Grade",8,IF(A26="D Grade",10,12)))))</f>
        <v>273</v>
      </c>
      <c r="P26"/>
      <c r="Q26"/>
      <c r="R26" s="136"/>
      <c r="S26" s="136"/>
      <c r="T26" s="64"/>
      <c r="U26" s="64"/>
      <c r="V26" s="64"/>
      <c r="W26" s="64"/>
      <c r="X26" s="64"/>
      <c r="Y26" s="118"/>
      <c r="AB26" s="112"/>
      <c r="AC26" s="150"/>
      <c r="AD26" s="150"/>
      <c r="AF26" s="119"/>
    </row>
    <row r="27" spans="1:32" ht="17" customHeight="1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/>
      <c r="G27" s="124"/>
      <c r="H27" s="150"/>
      <c r="I27" s="55">
        <f>VLOOKUP(C27,'Points Table'!A$3:L$43,IF(A27="A Grade / Juniors",4,IF(A27="B Grade",6,IF(A27="C Grade",8,IF(A27="D Grade",10,12)))))</f>
        <v>266</v>
      </c>
      <c r="P27"/>
      <c r="Q27"/>
      <c r="R27" s="136"/>
      <c r="S27" s="136"/>
      <c r="T27" s="90"/>
      <c r="U27" s="90"/>
      <c r="V27" s="90"/>
      <c r="W27" s="90"/>
      <c r="X27" s="90"/>
      <c r="Y27" s="118"/>
      <c r="Z27" s="90"/>
      <c r="AB27" s="90"/>
      <c r="AC27" s="153"/>
      <c r="AE27" s="90"/>
      <c r="AF27" s="90"/>
    </row>
    <row r="28" spans="1:32" ht="17" customHeight="1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/>
      <c r="G28" s="124"/>
      <c r="H28" s="150"/>
      <c r="I28" s="55">
        <f>VLOOKUP(C28,'Points Table'!A$3:L$43,IF(A28="A Grade / Juniors",4,IF(A28="B Grade",6,IF(A28="C Grade",8,IF(A28="D Grade",10,12)))))</f>
        <v>259</v>
      </c>
      <c r="P28"/>
      <c r="Q28"/>
      <c r="R28" s="136"/>
      <c r="S28" s="136"/>
      <c r="AC28" s="150"/>
    </row>
    <row r="29" spans="1:32" ht="17" customHeight="1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/>
      <c r="G29" s="124"/>
      <c r="H29" s="150"/>
      <c r="I29" s="55">
        <f>VLOOKUP(C29,'Points Table'!A$3:L$43,IF(A29="A Grade / Juniors",4,IF(A29="B Grade",6,IF(A29="C Grade",8,IF(A29="D Grade",10,12)))))</f>
        <v>251.99999999999997</v>
      </c>
      <c r="P29"/>
      <c r="Q29"/>
      <c r="R29" s="136"/>
      <c r="S29" s="136"/>
      <c r="T29" s="90"/>
      <c r="U29" s="90"/>
      <c r="V29" s="90"/>
      <c r="W29" s="90"/>
      <c r="X29" s="90"/>
      <c r="Y29" s="90"/>
      <c r="Z29" s="90"/>
      <c r="AB29" s="90"/>
      <c r="AC29" s="153"/>
      <c r="AD29" s="90"/>
      <c r="AE29" s="90"/>
    </row>
    <row r="30" spans="1:32" ht="17" customHeight="1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/>
      <c r="G30" s="124"/>
      <c r="H30" s="150"/>
      <c r="I30" s="55">
        <f>VLOOKUP(C30,'Points Table'!A$3:L$43,IF(A30="A Grade / Juniors",4,IF(A30="B Grade",6,IF(A30="C Grade",8,IF(A30="D Grade",10,12)))))</f>
        <v>244.99999999999997</v>
      </c>
      <c r="P30"/>
      <c r="Q30"/>
      <c r="R30" s="136"/>
      <c r="S30" s="136"/>
      <c r="AC30" s="150"/>
    </row>
    <row r="31" spans="1:32" ht="17" customHeight="1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/>
      <c r="G31" s="124"/>
      <c r="H31" s="150"/>
      <c r="I31" s="55">
        <f>VLOOKUP(C31,'Points Table'!A$3:L$43,IF(A31="A Grade / Juniors",4,IF(A31="B Grade",6,IF(A31="C Grade",8,IF(A31="D Grade",10,12)))))</f>
        <v>237.99999999999997</v>
      </c>
      <c r="P31"/>
      <c r="Q31"/>
      <c r="R31" s="136"/>
      <c r="S31" s="136"/>
      <c r="AC31" s="150"/>
    </row>
    <row r="32" spans="1:32" ht="17" customHeight="1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/>
      <c r="G32" s="124"/>
      <c r="H32" s="150"/>
      <c r="I32" s="55">
        <f>VLOOKUP(C32,'Points Table'!A$3:L$43,IF(A32="A Grade / Juniors",4,IF(A32="B Grade",6,IF(A32="C Grade",8,IF(A32="D Grade",10,12)))))</f>
        <v>230.99999999999997</v>
      </c>
      <c r="P32"/>
      <c r="Q32"/>
      <c r="R32" s="136"/>
      <c r="S32" s="136"/>
      <c r="AC32" s="150"/>
    </row>
    <row r="33" spans="1:26" ht="17" customHeight="1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/>
      <c r="G33" s="124"/>
      <c r="H33" s="150"/>
      <c r="I33" s="55">
        <f>VLOOKUP(C33,'Points Table'!A$3:L$43,IF(A33="A Grade / Juniors",4,IF(A33="B Grade",6,IF(A33="C Grade",8,IF(A33="D Grade",10,12)))))</f>
        <v>224</v>
      </c>
      <c r="P33"/>
      <c r="Q33"/>
      <c r="R33" s="112"/>
      <c r="S33" s="112"/>
    </row>
    <row r="34" spans="1:26" ht="17" customHeight="1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/>
      <c r="G34" s="124"/>
      <c r="H34" s="150"/>
      <c r="I34" s="55">
        <f>VLOOKUP(C34,'Points Table'!A$3:L$43,IF(A34="A Grade / Juniors",4,IF(A34="B Grade",6,IF(A34="C Grade",8,IF(A34="D Grade",10,12)))))</f>
        <v>217</v>
      </c>
      <c r="P34"/>
      <c r="Q34"/>
      <c r="R34" s="136"/>
      <c r="S34" s="136"/>
      <c r="Y34" s="150"/>
      <c r="Z34" s="150"/>
    </row>
    <row r="35" spans="1:26" ht="17" customHeight="1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/>
      <c r="G35" s="124"/>
      <c r="H35" s="150"/>
      <c r="I35" s="55">
        <f>VLOOKUP(C35,'Points Table'!A$3:L$43,IF(A35="A Grade / Juniors",4,IF(A35="B Grade",6,IF(A35="C Grade",8,IF(A35="D Grade",10,12)))))</f>
        <v>210</v>
      </c>
      <c r="P35" s="136"/>
      <c r="Q35"/>
      <c r="R35" s="112"/>
      <c r="S35" s="112"/>
      <c r="X35" s="150"/>
    </row>
    <row r="36" spans="1:26" ht="17" customHeight="1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/>
      <c r="G36" s="124"/>
      <c r="H36" s="150"/>
      <c r="I36" s="55">
        <f>VLOOKUP(C36,'Points Table'!A$3:L$43,IF(A36="A Grade / Juniors",4,IF(A36="B Grade",6,IF(A36="C Grade",8,IF(A36="D Grade",10,12)))))</f>
        <v>203</v>
      </c>
      <c r="P36" s="136"/>
      <c r="Q36"/>
      <c r="R36" s="112"/>
      <c r="S36" s="112"/>
      <c r="X36" s="150"/>
    </row>
    <row r="37" spans="1:26" ht="17" customHeight="1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112"/>
      <c r="G37" s="124"/>
      <c r="H37" s="150"/>
      <c r="I37" s="55">
        <f>VLOOKUP(C37,'Points Table'!A$3:L$43,IF(A37="A Grade / Juniors",4,IF(A37="B Grade",6,IF(A37="C Grade",8,IF(A37="D Grade",10,12)))))</f>
        <v>300</v>
      </c>
      <c r="P37"/>
      <c r="Q37"/>
      <c r="R37" s="112"/>
      <c r="S37" s="112"/>
    </row>
    <row r="38" spans="1:26" ht="17" customHeight="1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112"/>
      <c r="G38" s="124"/>
      <c r="H38" s="150"/>
      <c r="I38" s="55">
        <f>VLOOKUP(C38,'Points Table'!A$3:L$43,IF(A38="A Grade / Juniors",4,IF(A38="B Grade",6,IF(A38="C Grade",8,IF(A38="D Grade",10,12)))))</f>
        <v>270</v>
      </c>
      <c r="P38"/>
      <c r="Q38"/>
      <c r="R38" s="112"/>
      <c r="S38" s="112"/>
    </row>
    <row r="39" spans="1:26" ht="17" customHeight="1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112"/>
      <c r="G39" s="124"/>
      <c r="H39" s="150"/>
      <c r="I39" s="55">
        <f>VLOOKUP(C39,'Points Table'!A$3:L$43,IF(A39="A Grade / Juniors",4,IF(A39="B Grade",6,IF(A39="C Grade",8,IF(A39="D Grade",10,12)))))</f>
        <v>252</v>
      </c>
      <c r="P39"/>
      <c r="Q39"/>
      <c r="R39" s="112"/>
      <c r="S39" s="112"/>
    </row>
    <row r="40" spans="1:26" ht="17" customHeight="1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112"/>
      <c r="G40" s="124"/>
      <c r="H40" s="150"/>
      <c r="I40" s="55">
        <f>VLOOKUP(C40,'Points Table'!A$3:L$43,IF(A40="A Grade / Juniors",4,IF(A40="B Grade",6,IF(A40="C Grade",8,IF(A40="D Grade",10,12)))))</f>
        <v>240</v>
      </c>
      <c r="P40"/>
      <c r="Q40"/>
      <c r="R40" s="112"/>
      <c r="S40" s="112"/>
    </row>
    <row r="41" spans="1:26" ht="17" customHeight="1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112"/>
      <c r="G41" s="124"/>
      <c r="H41" s="150"/>
      <c r="I41" s="55">
        <f>VLOOKUP(C41,'Points Table'!A$3:L$43,IF(A41="A Grade / Juniors",4,IF(A41="B Grade",6,IF(A41="C Grade",8,IF(A41="D Grade",10,12)))))</f>
        <v>234</v>
      </c>
      <c r="P41" s="136"/>
      <c r="Q41"/>
      <c r="R41" s="112"/>
      <c r="S41" s="112"/>
      <c r="W41" s="150"/>
    </row>
    <row r="42" spans="1:26" ht="17" customHeight="1" x14ac:dyDescent="0.2">
      <c r="A42" s="65" t="s">
        <v>23</v>
      </c>
      <c r="B42" s="65" t="s">
        <v>37</v>
      </c>
      <c r="C42" s="62">
        <v>6</v>
      </c>
      <c r="D42" s="66" t="s">
        <v>66</v>
      </c>
      <c r="E42" s="62" t="s">
        <v>61</v>
      </c>
      <c r="F42" s="112"/>
      <c r="G42" s="124"/>
      <c r="H42" s="150"/>
      <c r="I42" s="55">
        <f>VLOOKUP(C42,'Points Table'!A$3:L$43,IF(A42="A Grade / Juniors",4,IF(A42="B Grade",6,IF(A42="C Grade",8,IF(A42="D Grade",10,12)))))</f>
        <v>228</v>
      </c>
      <c r="P42" s="136"/>
      <c r="Q42"/>
      <c r="R42" s="112"/>
      <c r="S42" s="112"/>
      <c r="W42" s="150"/>
    </row>
    <row r="43" spans="1:26" ht="17" customHeight="1" x14ac:dyDescent="0.2">
      <c r="A43" s="65" t="s">
        <v>23</v>
      </c>
      <c r="B43" s="65" t="s">
        <v>37</v>
      </c>
      <c r="C43" s="62">
        <v>7</v>
      </c>
      <c r="D43" s="66" t="s">
        <v>67</v>
      </c>
      <c r="E43" s="62" t="s">
        <v>61</v>
      </c>
      <c r="F43" s="112"/>
      <c r="G43" s="124"/>
      <c r="H43" s="150"/>
      <c r="I43" s="55">
        <f>VLOOKUP(C43,'Points Table'!A$3:L$43,IF(A43="A Grade / Juniors",4,IF(A43="B Grade",6,IF(A43="C Grade",8,IF(A43="D Grade",10,12)))))</f>
        <v>222</v>
      </c>
      <c r="O43" s="136"/>
      <c r="P43" s="136"/>
      <c r="Q43"/>
      <c r="R43" s="112"/>
      <c r="S43" s="112"/>
      <c r="U43" s="150"/>
      <c r="W43" s="150"/>
    </row>
    <row r="44" spans="1:26" ht="17" customHeight="1" x14ac:dyDescent="0.2">
      <c r="A44" s="65" t="s">
        <v>59</v>
      </c>
      <c r="B44" s="65" t="s">
        <v>38</v>
      </c>
      <c r="C44" s="62">
        <v>1</v>
      </c>
      <c r="D44" s="66" t="s">
        <v>60</v>
      </c>
      <c r="E44" s="62" t="s">
        <v>61</v>
      </c>
      <c r="F44" s="112"/>
      <c r="G44" s="124"/>
      <c r="H44" s="150"/>
      <c r="I44" s="55">
        <f>VLOOKUP(C44,'Points Table'!A$3:L$43,IF(A44="A Grade / Juniors",4,IF(A44="B Grade",6,IF(A44="C Grade",8,IF(A44="D Grade",10,12)))))</f>
        <v>500</v>
      </c>
      <c r="O44" s="136"/>
      <c r="P44" s="136"/>
      <c r="Q44"/>
      <c r="R44" s="112"/>
      <c r="S44" s="112"/>
      <c r="U44" s="150"/>
      <c r="W44" s="150"/>
    </row>
    <row r="45" spans="1:26" ht="17" customHeight="1" x14ac:dyDescent="0.2">
      <c r="A45" s="65" t="s">
        <v>19</v>
      </c>
      <c r="B45" s="65" t="s">
        <v>39</v>
      </c>
      <c r="C45" s="62">
        <v>1</v>
      </c>
      <c r="D45" s="66" t="s">
        <v>60</v>
      </c>
      <c r="E45" s="62" t="s">
        <v>61</v>
      </c>
      <c r="F45" s="112"/>
      <c r="G45" s="124"/>
      <c r="H45" s="150"/>
      <c r="I45" s="55">
        <f>VLOOKUP(C45,'Points Table'!A$3:L$43,IF(A45="A Grade / Juniors",4,IF(A45="B Grade",6,IF(A45="C Grade",8,IF(A45="D Grade",10,12)))))</f>
        <v>375</v>
      </c>
      <c r="O45" s="136"/>
      <c r="P45"/>
      <c r="Q45"/>
      <c r="R45" s="112"/>
      <c r="S45" s="112"/>
      <c r="U45" s="150"/>
    </row>
    <row r="46" spans="1:26" ht="17" customHeight="1" x14ac:dyDescent="0.2">
      <c r="A46" s="65" t="s">
        <v>21</v>
      </c>
      <c r="B46" s="65" t="s">
        <v>40</v>
      </c>
      <c r="C46" s="62">
        <v>1</v>
      </c>
      <c r="D46" s="66" t="s">
        <v>60</v>
      </c>
      <c r="E46" s="62" t="s">
        <v>61</v>
      </c>
      <c r="F46" s="112"/>
      <c r="G46" s="124"/>
      <c r="H46" s="150"/>
      <c r="I46" s="55">
        <f>VLOOKUP(C46,'Points Table'!A$3:L$43,IF(A46="A Grade / Juniors",4,IF(A46="B Grade",6,IF(A46="C Grade",8,IF(A46="D Grade",10,12)))))</f>
        <v>350</v>
      </c>
      <c r="P46"/>
      <c r="Q46"/>
      <c r="R46" s="112"/>
      <c r="S46" s="112"/>
    </row>
    <row r="47" spans="1:26" ht="17" customHeight="1" x14ac:dyDescent="0.2">
      <c r="A47" s="65" t="s">
        <v>21</v>
      </c>
      <c r="B47" s="65" t="s">
        <v>40</v>
      </c>
      <c r="C47" s="62">
        <v>2</v>
      </c>
      <c r="D47" s="66" t="s">
        <v>62</v>
      </c>
      <c r="E47" s="62" t="s">
        <v>61</v>
      </c>
      <c r="F47" s="112"/>
      <c r="G47" s="124"/>
      <c r="H47" s="150"/>
      <c r="I47" s="55">
        <f>VLOOKUP(C47,'Points Table'!A$3:L$43,IF(A47="A Grade / Juniors",4,IF(A47="B Grade",6,IF(A47="C Grade",8,IF(A47="D Grade",10,12)))))</f>
        <v>315</v>
      </c>
      <c r="P47"/>
      <c r="Q47"/>
      <c r="R47" s="112"/>
      <c r="S47" s="112"/>
    </row>
    <row r="48" spans="1:26" ht="17" customHeight="1" x14ac:dyDescent="0.2">
      <c r="A48" s="65" t="s">
        <v>41</v>
      </c>
      <c r="B48" s="65" t="s">
        <v>46</v>
      </c>
      <c r="C48" s="62">
        <v>1</v>
      </c>
      <c r="D48" s="66" t="s">
        <v>60</v>
      </c>
      <c r="E48" s="62" t="s">
        <v>61</v>
      </c>
      <c r="F48" s="112"/>
      <c r="G48" s="124"/>
      <c r="H48" s="150"/>
      <c r="I48" s="55">
        <f>VLOOKUP(C48,'Points Table'!A$3:L$43,IF(A48="A Grade / Juniors",4,IF(A48="B Grade",6,IF(A48="C Grade",8,IF(A48="D Grade",10,12)))))</f>
        <v>500</v>
      </c>
      <c r="P48"/>
      <c r="Q48"/>
      <c r="R48" s="112"/>
      <c r="S48" s="112"/>
    </row>
    <row r="49" spans="1:31" ht="17" customHeight="1" x14ac:dyDescent="0.2">
      <c r="A49" s="65" t="s">
        <v>41</v>
      </c>
      <c r="B49" s="65" t="s">
        <v>46</v>
      </c>
      <c r="C49" s="62">
        <v>2</v>
      </c>
      <c r="D49" s="66" t="s">
        <v>62</v>
      </c>
      <c r="E49" s="62" t="s">
        <v>61</v>
      </c>
      <c r="F49" s="112"/>
      <c r="G49" s="124"/>
      <c r="H49" s="150"/>
      <c r="I49" s="55">
        <f>VLOOKUP(C49,'Points Table'!A$3:L$43,IF(A49="A Grade / Juniors",4,IF(A49="B Grade",6,IF(A49="C Grade",8,IF(A49="D Grade",10,12)))))</f>
        <v>450</v>
      </c>
      <c r="P49"/>
      <c r="Q49"/>
      <c r="R49" s="112"/>
      <c r="S49" s="112"/>
      <c r="T49" s="124"/>
      <c r="U49" s="124"/>
      <c r="V49" s="124"/>
      <c r="W49" s="124"/>
      <c r="X49" s="124"/>
      <c r="Y49" s="131"/>
    </row>
    <row r="50" spans="1:31" ht="17" customHeight="1" x14ac:dyDescent="0.2">
      <c r="A50" s="65" t="s">
        <v>41</v>
      </c>
      <c r="B50" s="65" t="s">
        <v>46</v>
      </c>
      <c r="C50" s="62">
        <v>3</v>
      </c>
      <c r="D50" s="66" t="s">
        <v>63</v>
      </c>
      <c r="E50" s="62" t="s">
        <v>61</v>
      </c>
      <c r="F50" s="112"/>
      <c r="G50" s="124"/>
      <c r="H50" s="150"/>
      <c r="I50" s="55">
        <f>VLOOKUP(C50,'Points Table'!A$3:L$43,IF(A50="A Grade / Juniors",4,IF(A50="B Grade",6,IF(A50="C Grade",8,IF(A50="D Grade",10,12)))))</f>
        <v>420</v>
      </c>
      <c r="P50"/>
      <c r="Q50"/>
      <c r="R50" s="112"/>
      <c r="S50" s="112"/>
      <c r="T50" s="123"/>
      <c r="U50" s="123"/>
      <c r="V50" s="123"/>
      <c r="W50" s="123"/>
      <c r="X50" s="123"/>
    </row>
    <row r="51" spans="1:31" ht="17" customHeight="1" x14ac:dyDescent="0.2">
      <c r="A51" s="65" t="s">
        <v>41</v>
      </c>
      <c r="B51" s="65" t="s">
        <v>46</v>
      </c>
      <c r="C51" s="62">
        <v>4</v>
      </c>
      <c r="D51" s="66" t="s">
        <v>64</v>
      </c>
      <c r="E51" s="62" t="s">
        <v>61</v>
      </c>
      <c r="F51" s="112"/>
      <c r="G51" s="124"/>
      <c r="H51" s="150"/>
      <c r="I51" s="55">
        <f>VLOOKUP(C51,'Points Table'!A$3:L$43,IF(A51="A Grade / Juniors",4,IF(A51="B Grade",6,IF(A51="C Grade",8,IF(A51="D Grade",10,12)))))</f>
        <v>400</v>
      </c>
      <c r="P51"/>
      <c r="Q51"/>
      <c r="R51" s="112"/>
      <c r="S51" s="112"/>
    </row>
    <row r="52" spans="1:31" ht="17" customHeight="1" x14ac:dyDescent="0.2">
      <c r="A52" s="65" t="s">
        <v>41</v>
      </c>
      <c r="B52" s="65" t="s">
        <v>47</v>
      </c>
      <c r="C52" s="62">
        <v>1</v>
      </c>
      <c r="D52" s="66" t="s">
        <v>60</v>
      </c>
      <c r="E52" s="62" t="s">
        <v>61</v>
      </c>
      <c r="F52" s="112"/>
      <c r="G52" s="124"/>
      <c r="H52" s="150"/>
      <c r="I52" s="55">
        <f>VLOOKUP(C52,'Points Table'!A$3:L$43,IF(A52="A Grade / Juniors",4,IF(A52="B Grade",6,IF(A52="C Grade",8,IF(A52="D Grade",10,12)))))</f>
        <v>500</v>
      </c>
      <c r="P52"/>
      <c r="Q52"/>
      <c r="R52" s="112"/>
      <c r="S52" s="112"/>
    </row>
    <row r="53" spans="1:31" ht="18" customHeight="1" x14ac:dyDescent="0.2">
      <c r="A53" s="65" t="s">
        <v>41</v>
      </c>
      <c r="B53" s="65" t="s">
        <v>47</v>
      </c>
      <c r="C53" s="62">
        <v>2</v>
      </c>
      <c r="D53" s="66" t="s">
        <v>62</v>
      </c>
      <c r="E53" s="62" t="s">
        <v>61</v>
      </c>
      <c r="F53" s="112"/>
      <c r="G53" s="124"/>
      <c r="H53" s="150"/>
      <c r="I53" s="55">
        <f>VLOOKUP(C53,'Points Table'!A$3:L$43,IF(A53="A Grade / Juniors",4,IF(A53="B Grade",6,IF(A53="C Grade",8,IF(A53="D Grade",10,12)))))</f>
        <v>450</v>
      </c>
      <c r="P53"/>
      <c r="Q53"/>
      <c r="R53" s="112"/>
      <c r="S53" s="112"/>
    </row>
    <row r="54" spans="1:31" ht="18" customHeight="1" x14ac:dyDescent="0.2">
      <c r="A54" s="65" t="s">
        <v>41</v>
      </c>
      <c r="B54" s="65" t="s">
        <v>47</v>
      </c>
      <c r="C54" s="62">
        <v>3</v>
      </c>
      <c r="D54" s="66" t="s">
        <v>63</v>
      </c>
      <c r="E54" s="62" t="s">
        <v>61</v>
      </c>
      <c r="F54" s="112"/>
      <c r="G54" s="124"/>
      <c r="H54" s="150"/>
      <c r="I54" s="55">
        <f>VLOOKUP(C54,'Points Table'!A$3:L$43,IF(A54="A Grade / Juniors",4,IF(A54="B Grade",6,IF(A54="C Grade",8,IF(A54="D Grade",10,12)))))</f>
        <v>420</v>
      </c>
      <c r="P54"/>
      <c r="Q54"/>
      <c r="R54" s="112"/>
      <c r="S54" s="112"/>
    </row>
    <row r="55" spans="1:31" ht="17" customHeight="1" x14ac:dyDescent="0.2">
      <c r="A55" s="65" t="s">
        <v>41</v>
      </c>
      <c r="B55" s="65" t="s">
        <v>48</v>
      </c>
      <c r="C55" s="62">
        <v>1</v>
      </c>
      <c r="D55" s="66" t="s">
        <v>60</v>
      </c>
      <c r="E55" s="62" t="s">
        <v>61</v>
      </c>
      <c r="F55" s="112"/>
      <c r="G55" s="124"/>
      <c r="H55" s="150"/>
      <c r="I55" s="55">
        <f>VLOOKUP(C55,'Points Table'!A$3:L$43,IF(A55="A Grade / Juniors",4,IF(A55="B Grade",6,IF(A55="C Grade",8,IF(A55="D Grade",10,12)))))</f>
        <v>500</v>
      </c>
      <c r="P55"/>
      <c r="Q55"/>
      <c r="R55" s="112"/>
      <c r="S55" s="112"/>
    </row>
    <row r="56" spans="1:31" x14ac:dyDescent="0.2">
      <c r="C56" s="65"/>
      <c r="D56" s="66"/>
      <c r="H56" s="68"/>
      <c r="Y56" s="112"/>
      <c r="Z56" s="124"/>
      <c r="AA56" s="124"/>
      <c r="AB56" s="124"/>
      <c r="AC56" s="124"/>
      <c r="AD56" s="124"/>
      <c r="AE56" s="131"/>
    </row>
    <row r="57" spans="1:31" x14ac:dyDescent="0.2">
      <c r="H57" s="68"/>
      <c r="Y57" s="112"/>
      <c r="Z57" s="124"/>
      <c r="AA57" s="124"/>
      <c r="AB57" s="124"/>
      <c r="AC57" s="124"/>
      <c r="AD57" s="124"/>
      <c r="AE57" s="131"/>
    </row>
    <row r="58" spans="1:31" x14ac:dyDescent="0.2">
      <c r="Y58" s="112"/>
      <c r="Z58" s="124"/>
      <c r="AA58" s="124"/>
      <c r="AB58" s="124"/>
      <c r="AC58" s="124"/>
      <c r="AD58" s="124"/>
      <c r="AE58" s="131"/>
    </row>
    <row r="59" spans="1:31" x14ac:dyDescent="0.2">
      <c r="Y59" s="112"/>
      <c r="Z59" s="124"/>
      <c r="AA59" s="124"/>
      <c r="AB59" s="124"/>
      <c r="AC59" s="124"/>
      <c r="AD59" s="124"/>
      <c r="AE59" s="131"/>
    </row>
    <row r="60" spans="1:31" x14ac:dyDescent="0.2">
      <c r="Y60" s="112"/>
      <c r="Z60" s="124"/>
      <c r="AA60" s="124"/>
      <c r="AB60" s="124"/>
      <c r="AC60" s="124"/>
      <c r="AD60" s="124"/>
      <c r="AE60" s="131"/>
    </row>
  </sheetData>
  <phoneticPr fontId="16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7"/>
  <sheetViews>
    <sheetView topLeftCell="A34" workbookViewId="0">
      <selection activeCell="A72" sqref="A72:B7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5.6640625" style="74" bestFit="1" customWidth="1"/>
    <col min="7" max="7" width="6.1640625" style="133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 t="s">
        <v>181</v>
      </c>
      <c r="G2" s="72">
        <v>11</v>
      </c>
      <c r="H2" s="150">
        <v>0.1559837962962963</v>
      </c>
      <c r="I2" s="55">
        <f>VLOOKUP(C2,'Points Table'!A$3:L$43,IF(A2="A Grade / Juniors",4,IF(A2="B Grade",6,IF(A2="C Grade",8,IF(A2="D Grade",10,12)))))</f>
        <v>500</v>
      </c>
      <c r="R2" s="112"/>
      <c r="S2" s="119"/>
      <c r="T2" s="119"/>
      <c r="U2" s="119"/>
      <c r="V2" s="117"/>
      <c r="W2" s="117"/>
      <c r="X2" s="117"/>
      <c r="Y2" s="118"/>
    </row>
    <row r="3" spans="1:34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 t="s">
        <v>267</v>
      </c>
      <c r="G3" s="72">
        <v>11</v>
      </c>
      <c r="H3" s="150">
        <v>0.16153935185185186</v>
      </c>
      <c r="I3" s="55">
        <f>VLOOKUP(C3,'Points Table'!A$3:L$43,IF(A3="A Grade / Juniors",4,IF(A3="B Grade",6,IF(A3="C Grade",8,IF(A3="D Grade",10,12)))))</f>
        <v>450</v>
      </c>
      <c r="O3" s="113"/>
      <c r="P3" s="117"/>
      <c r="Q3" s="112"/>
      <c r="R3" s="67"/>
      <c r="S3" s="118"/>
      <c r="V3" s="112"/>
      <c r="W3" s="112"/>
      <c r="X3" s="124"/>
      <c r="Y3" s="123"/>
      <c r="Z3" s="123"/>
      <c r="AA3" s="81"/>
      <c r="AC3" s="81"/>
      <c r="AD3" s="81"/>
      <c r="AE3" s="95"/>
      <c r="AF3"/>
    </row>
    <row r="4" spans="1:34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 t="s">
        <v>268</v>
      </c>
      <c r="G4" s="72">
        <v>11</v>
      </c>
      <c r="H4" s="150">
        <v>0.16197916666666667</v>
      </c>
      <c r="I4" s="55">
        <f>VLOOKUP(C4,'Points Table'!A$3:L$43,IF(A4="A Grade / Juniors",4,IF(A4="B Grade",6,IF(A4="C Grade",8,IF(A4="D Grade",10,12)))))</f>
        <v>420</v>
      </c>
      <c r="O4" s="113"/>
      <c r="P4" s="117"/>
      <c r="Q4" s="112"/>
      <c r="R4" s="67"/>
      <c r="S4" s="118"/>
      <c r="V4" s="112"/>
      <c r="W4" s="112"/>
      <c r="X4" s="123"/>
      <c r="Y4" s="123"/>
      <c r="Z4" s="123"/>
      <c r="AA4" s="81"/>
      <c r="AB4" s="81"/>
      <c r="AD4" s="81"/>
      <c r="AE4" s="81"/>
      <c r="AF4" s="95"/>
      <c r="AG4"/>
    </row>
    <row r="5" spans="1:34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 t="s">
        <v>157</v>
      </c>
      <c r="G5" s="72">
        <v>11</v>
      </c>
      <c r="H5" s="150">
        <v>0.16506944444444444</v>
      </c>
      <c r="I5" s="55">
        <f>VLOOKUP(C5,'Points Table'!A$3:L$43,IF(A5="A Grade / Juniors",4,IF(A5="B Grade",6,IF(A5="C Grade",8,IF(A5="D Grade",10,12)))))</f>
        <v>400</v>
      </c>
      <c r="O5" s="113"/>
      <c r="P5" s="117"/>
      <c r="Q5" s="112"/>
      <c r="R5" s="67"/>
      <c r="S5" s="118"/>
      <c r="V5" s="112"/>
      <c r="W5" s="112"/>
      <c r="X5" s="123"/>
      <c r="Y5" s="123"/>
      <c r="Z5" s="123"/>
      <c r="AA5" s="81"/>
      <c r="AB5" s="81"/>
      <c r="AC5" s="81"/>
      <c r="AD5" s="81"/>
      <c r="AE5" s="81"/>
      <c r="AF5" s="95"/>
      <c r="AG5" s="81"/>
      <c r="AH5"/>
    </row>
    <row r="6" spans="1:34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 t="s">
        <v>156</v>
      </c>
      <c r="G6" s="72">
        <v>11</v>
      </c>
      <c r="H6" s="150">
        <v>0.16571759259259258</v>
      </c>
      <c r="I6" s="55">
        <f>VLOOKUP(C6,'Points Table'!A$3:L$43,IF(A6="A Grade / Juniors",4,IF(A6="B Grade",6,IF(A6="C Grade",8,IF(A6="D Grade",10,12)))))</f>
        <v>390</v>
      </c>
      <c r="O6" s="113"/>
      <c r="P6" s="117"/>
      <c r="Q6" s="112"/>
      <c r="R6" s="67"/>
      <c r="S6" s="118"/>
      <c r="V6" s="112"/>
      <c r="W6" s="112"/>
      <c r="X6" s="123"/>
      <c r="Y6" s="123"/>
      <c r="Z6" s="123"/>
      <c r="AA6" s="81"/>
      <c r="AB6" s="81"/>
      <c r="AC6" s="81"/>
      <c r="AD6" s="81"/>
      <c r="AE6" s="81"/>
      <c r="AF6" s="95"/>
      <c r="AG6" s="81"/>
      <c r="AH6" s="81"/>
    </row>
    <row r="7" spans="1:34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 t="s">
        <v>194</v>
      </c>
      <c r="G7" s="72">
        <v>10</v>
      </c>
      <c r="H7" s="150">
        <v>0.155</v>
      </c>
      <c r="I7" s="55">
        <f>VLOOKUP(C7,'Points Table'!A$3:L$43,IF(A7="A Grade / Juniors",4,IF(A7="B Grade",6,IF(A7="C Grade",8,IF(A7="D Grade",10,12)))))</f>
        <v>380</v>
      </c>
      <c r="O7" s="113"/>
      <c r="P7" s="117"/>
      <c r="Q7" s="112"/>
      <c r="R7" s="67"/>
      <c r="S7" s="118"/>
      <c r="V7" s="112"/>
      <c r="W7" s="112"/>
      <c r="X7" s="124"/>
      <c r="Y7" s="123"/>
      <c r="Z7" s="123"/>
      <c r="AA7" s="81"/>
      <c r="AB7" s="81"/>
      <c r="AC7" s="81"/>
      <c r="AD7" s="81"/>
      <c r="AE7" s="81"/>
      <c r="AF7" s="95"/>
      <c r="AG7" s="81"/>
      <c r="AH7" s="81"/>
    </row>
    <row r="8" spans="1:34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 t="s">
        <v>221</v>
      </c>
      <c r="G8" s="72">
        <v>10</v>
      </c>
      <c r="H8" s="150">
        <v>0.15663194444444445</v>
      </c>
      <c r="I8" s="55">
        <f>VLOOKUP(C8,'Points Table'!A$3:L$43,IF(A8="A Grade / Juniors",4,IF(A8="B Grade",6,IF(A8="C Grade",8,IF(A8="D Grade",10,12)))))</f>
        <v>370</v>
      </c>
      <c r="O8" s="113"/>
      <c r="P8" s="117"/>
      <c r="Q8" s="112"/>
      <c r="R8" s="67"/>
      <c r="S8" s="118"/>
      <c r="V8" s="112"/>
      <c r="W8" s="112"/>
      <c r="X8" s="124"/>
      <c r="Y8" s="123"/>
      <c r="Z8" s="123"/>
      <c r="AA8" s="81"/>
      <c r="AB8" s="81"/>
      <c r="AC8" s="81"/>
      <c r="AD8" s="81"/>
      <c r="AE8" s="81"/>
      <c r="AF8" s="95"/>
      <c r="AG8" s="81"/>
      <c r="AH8" s="81"/>
    </row>
    <row r="9" spans="1:34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 t="s">
        <v>222</v>
      </c>
      <c r="G9" s="72">
        <v>10</v>
      </c>
      <c r="H9" s="150">
        <v>0.15937499999999999</v>
      </c>
      <c r="I9" s="55">
        <f>VLOOKUP(C9,'Points Table'!A$3:L$43,IF(A9="A Grade / Juniors",4,IF(A9="B Grade",6,IF(A9="C Grade",8,IF(A9="D Grade",10,12)))))</f>
        <v>360</v>
      </c>
      <c r="O9" s="113"/>
      <c r="P9" s="117"/>
      <c r="Q9" s="112"/>
      <c r="R9" s="67"/>
      <c r="S9" s="118"/>
      <c r="V9" s="112"/>
      <c r="W9" s="112"/>
      <c r="X9" s="124"/>
      <c r="Y9" s="123"/>
      <c r="Z9" s="123"/>
      <c r="AA9" s="81"/>
      <c r="AB9" s="81"/>
      <c r="AC9" s="81"/>
      <c r="AD9" s="81"/>
      <c r="AE9" s="81"/>
      <c r="AF9" s="95"/>
      <c r="AG9" s="81"/>
      <c r="AH9" s="81"/>
    </row>
    <row r="10" spans="1:34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 t="s">
        <v>202</v>
      </c>
      <c r="G10" s="72">
        <v>9</v>
      </c>
      <c r="H10" s="150">
        <v>0.15711805555555555</v>
      </c>
      <c r="I10" s="55">
        <f>VLOOKUP(C10,'Points Table'!A$3:L$43,IF(A10="A Grade / Juniors",4,IF(A10="B Grade",6,IF(A10="C Grade",8,IF(A10="D Grade",10,12)))))</f>
        <v>350</v>
      </c>
      <c r="O10" s="113"/>
      <c r="P10" s="117"/>
      <c r="Q10" s="112"/>
      <c r="R10" s="67"/>
      <c r="S10" s="118"/>
      <c r="V10" s="112"/>
      <c r="W10" s="124"/>
      <c r="X10" s="123"/>
      <c r="Y10" s="124"/>
      <c r="Z10" s="123"/>
      <c r="AA10" s="81"/>
      <c r="AB10" s="81"/>
      <c r="AC10" s="81"/>
      <c r="AD10" s="81"/>
      <c r="AE10" s="81"/>
      <c r="AF10" s="81"/>
      <c r="AG10" s="95"/>
      <c r="AH10" s="81"/>
    </row>
    <row r="11" spans="1:34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 t="s">
        <v>269</v>
      </c>
      <c r="G11" s="72">
        <v>8</v>
      </c>
      <c r="H11" s="150">
        <v>0.14331018518518518</v>
      </c>
      <c r="I11" s="55">
        <f>VLOOKUP(C11,'Points Table'!A$3:L$43,IF(A11="A Grade / Juniors",4,IF(A11="B Grade",6,IF(A11="C Grade",8,IF(A11="D Grade",10,12)))))</f>
        <v>340</v>
      </c>
      <c r="O11" s="113"/>
      <c r="P11" s="117"/>
      <c r="Q11" s="112"/>
      <c r="R11" s="67"/>
      <c r="S11" s="118"/>
      <c r="V11" s="112"/>
      <c r="W11" s="124"/>
      <c r="X11" s="123"/>
      <c r="Y11" s="123"/>
      <c r="Z11" s="123"/>
      <c r="AA11" s="81"/>
      <c r="AB11" s="81"/>
      <c r="AC11" s="81"/>
      <c r="AD11" s="81"/>
      <c r="AE11" s="81"/>
      <c r="AF11" s="81"/>
      <c r="AG11" s="95"/>
      <c r="AH11" s="81"/>
    </row>
    <row r="12" spans="1:34" ht="17" customHeight="1" x14ac:dyDescent="0.2">
      <c r="A12" s="65" t="s">
        <v>59</v>
      </c>
      <c r="B12" s="65" t="s">
        <v>34</v>
      </c>
      <c r="C12" s="62">
        <v>11</v>
      </c>
      <c r="D12" s="66" t="s">
        <v>71</v>
      </c>
      <c r="E12" s="62" t="s">
        <v>61</v>
      </c>
      <c r="F12" s="112" t="s">
        <v>270</v>
      </c>
      <c r="G12" s="72">
        <v>5</v>
      </c>
      <c r="H12" s="150">
        <v>7.9386574074074068E-2</v>
      </c>
      <c r="I12" s="55">
        <f>VLOOKUP(C12,'Points Table'!A$3:L$43,IF(A12="A Grade / Juniors",4,IF(A12="B Grade",6,IF(A12="C Grade",8,IF(A12="D Grade",10,12)))))</f>
        <v>330</v>
      </c>
      <c r="O12" s="113"/>
      <c r="P12" s="117"/>
      <c r="Q12" s="112"/>
      <c r="R12" s="67"/>
      <c r="S12" s="118"/>
      <c r="V12" s="112"/>
      <c r="W12" s="112"/>
      <c r="X12" s="124"/>
      <c r="Y12" s="123"/>
      <c r="Z12" s="123"/>
      <c r="AA12" s="81"/>
      <c r="AB12" s="81"/>
      <c r="AC12" s="81"/>
      <c r="AD12" s="81"/>
      <c r="AE12" s="81"/>
      <c r="AF12" s="81"/>
      <c r="AG12" s="95"/>
      <c r="AH12"/>
    </row>
    <row r="13" spans="1:34" ht="17" customHeight="1" x14ac:dyDescent="0.2">
      <c r="A13" s="65" t="s">
        <v>59</v>
      </c>
      <c r="B13" s="65" t="s">
        <v>34</v>
      </c>
      <c r="C13" s="62">
        <v>12</v>
      </c>
      <c r="D13" s="66" t="s">
        <v>72</v>
      </c>
      <c r="E13" s="62" t="s">
        <v>61</v>
      </c>
      <c r="F13" s="112" t="s">
        <v>271</v>
      </c>
      <c r="G13" s="72">
        <v>1</v>
      </c>
      <c r="H13" s="150">
        <v>1.4467592592592593E-2</v>
      </c>
      <c r="I13" s="55">
        <f>VLOOKUP(C13,'Points Table'!A$3:L$43,IF(A13="A Grade / Juniors",4,IF(A13="B Grade",6,IF(A13="C Grade",8,IF(A13="D Grade",10,12)))))</f>
        <v>320</v>
      </c>
      <c r="O13" s="113"/>
      <c r="P13" s="117"/>
      <c r="Q13" s="112"/>
      <c r="R13" s="67"/>
      <c r="S13" s="118"/>
      <c r="V13" s="64"/>
      <c r="W13" s="64"/>
      <c r="X13" s="64"/>
      <c r="Y13" s="118"/>
      <c r="AB13" s="119"/>
    </row>
    <row r="14" spans="1:34" ht="17" customHeight="1" x14ac:dyDescent="0.2">
      <c r="A14" s="65" t="s">
        <v>19</v>
      </c>
      <c r="B14" s="65" t="s">
        <v>35</v>
      </c>
      <c r="C14" s="62">
        <v>1</v>
      </c>
      <c r="D14" s="66" t="s">
        <v>60</v>
      </c>
      <c r="E14" s="62" t="s">
        <v>61</v>
      </c>
      <c r="F14" s="112" t="s">
        <v>160</v>
      </c>
      <c r="G14" s="124">
        <v>10</v>
      </c>
      <c r="H14" s="150">
        <v>0.16142361111111111</v>
      </c>
      <c r="I14" s="55">
        <f>VLOOKUP(C14,'Points Table'!A$3:L$43,IF(A14="A Grade / Juniors",4,IF(A14="B Grade",6,IF(A14="C Grade",8,IF(A14="D Grade",10,12)))))</f>
        <v>375</v>
      </c>
      <c r="Q14" s="112"/>
      <c r="R14" s="67"/>
      <c r="S14" s="118"/>
      <c r="T14" s="112"/>
      <c r="U14" s="126"/>
      <c r="V14" s="124"/>
      <c r="W14" s="123"/>
      <c r="X14" s="124"/>
      <c r="Y14" s="123"/>
      <c r="Z14" s="90"/>
      <c r="AA14" s="90"/>
      <c r="AB14" s="90"/>
    </row>
    <row r="15" spans="1:34" ht="17" customHeight="1" x14ac:dyDescent="0.2">
      <c r="A15" s="65" t="s">
        <v>19</v>
      </c>
      <c r="B15" s="65" t="s">
        <v>35</v>
      </c>
      <c r="C15" s="62">
        <v>2</v>
      </c>
      <c r="D15" s="66" t="s">
        <v>62</v>
      </c>
      <c r="E15" s="62" t="s">
        <v>61</v>
      </c>
      <c r="F15" s="112" t="s">
        <v>159</v>
      </c>
      <c r="G15" s="124">
        <v>10</v>
      </c>
      <c r="H15" s="150">
        <v>0.16495370370370371</v>
      </c>
      <c r="I15" s="55">
        <f>VLOOKUP(C15,'Points Table'!A$3:L$43,IF(A15="A Grade / Juniors",4,IF(A15="B Grade",6,IF(A15="C Grade",8,IF(A15="D Grade",10,12)))))</f>
        <v>337.5</v>
      </c>
      <c r="Q15" s="112"/>
      <c r="R15" s="67"/>
      <c r="S15" s="118"/>
      <c r="T15" s="124"/>
      <c r="U15" s="124"/>
      <c r="V15" s="124"/>
      <c r="W15" s="124"/>
      <c r="X15" s="124"/>
      <c r="Y15" s="123"/>
    </row>
    <row r="16" spans="1:34" ht="17" customHeight="1" x14ac:dyDescent="0.2">
      <c r="A16" s="65" t="s">
        <v>19</v>
      </c>
      <c r="B16" s="65" t="s">
        <v>35</v>
      </c>
      <c r="C16" s="62">
        <v>3</v>
      </c>
      <c r="D16" s="66" t="s">
        <v>63</v>
      </c>
      <c r="E16" s="62" t="s">
        <v>61</v>
      </c>
      <c r="F16" s="112" t="s">
        <v>272</v>
      </c>
      <c r="G16" s="124">
        <v>9</v>
      </c>
      <c r="H16" s="150">
        <v>0.15604166666666666</v>
      </c>
      <c r="I16" s="55">
        <f>VLOOKUP(C16,'Points Table'!A$3:L$43,IF(A16="A Grade / Juniors",4,IF(A16="B Grade",6,IF(A16="C Grade",8,IF(A16="D Grade",10,12)))))</f>
        <v>315</v>
      </c>
      <c r="Q16" s="112"/>
      <c r="R16" s="67"/>
      <c r="S16" s="118"/>
      <c r="T16" s="112"/>
      <c r="U16" s="112"/>
      <c r="V16" s="124"/>
      <c r="W16" s="123"/>
      <c r="X16" s="124"/>
      <c r="Y16" s="123"/>
      <c r="Z16" s="90"/>
      <c r="AA16" s="90"/>
    </row>
    <row r="17" spans="1:31" ht="17" customHeight="1" x14ac:dyDescent="0.2">
      <c r="A17" s="65" t="s">
        <v>19</v>
      </c>
      <c r="B17" s="65" t="s">
        <v>35</v>
      </c>
      <c r="C17" s="62">
        <v>4</v>
      </c>
      <c r="D17" s="66" t="s">
        <v>64</v>
      </c>
      <c r="E17" s="62" t="s">
        <v>61</v>
      </c>
      <c r="F17" s="112" t="s">
        <v>273</v>
      </c>
      <c r="G17" s="124">
        <v>9</v>
      </c>
      <c r="H17" s="150">
        <v>0.15663194444444445</v>
      </c>
      <c r="I17" s="55">
        <f>VLOOKUP(C17,'Points Table'!A$3:L$43,IF(A17="A Grade / Juniors",4,IF(A17="B Grade",6,IF(A17="C Grade",8,IF(A17="D Grade",10,12)))))</f>
        <v>300</v>
      </c>
      <c r="Q17" s="112"/>
      <c r="R17" s="67"/>
      <c r="S17" s="118"/>
      <c r="T17" s="112"/>
      <c r="U17" s="112"/>
      <c r="V17" s="124"/>
      <c r="W17" s="123"/>
      <c r="X17" s="124"/>
      <c r="Y17" s="123"/>
    </row>
    <row r="18" spans="1:31" ht="17" customHeight="1" x14ac:dyDescent="0.2">
      <c r="A18" s="65" t="s">
        <v>19</v>
      </c>
      <c r="B18" s="65" t="s">
        <v>35</v>
      </c>
      <c r="C18" s="62">
        <v>5</v>
      </c>
      <c r="D18" s="66" t="s">
        <v>65</v>
      </c>
      <c r="E18" s="62" t="s">
        <v>61</v>
      </c>
      <c r="F18" s="112" t="s">
        <v>226</v>
      </c>
      <c r="G18" s="124">
        <v>9</v>
      </c>
      <c r="H18" s="150">
        <v>0.15752314814814813</v>
      </c>
      <c r="I18" s="55">
        <f>VLOOKUP(C18,'Points Table'!A$3:L$43,IF(A18="A Grade / Juniors",4,IF(A18="B Grade",6,IF(A18="C Grade",8,IF(A18="D Grade",10,12)))))</f>
        <v>292.5</v>
      </c>
      <c r="Q18" s="112"/>
      <c r="R18" s="67"/>
      <c r="S18" s="118"/>
      <c r="T18" s="112"/>
      <c r="U18" s="112"/>
      <c r="V18" s="124"/>
      <c r="W18" s="123"/>
    </row>
    <row r="19" spans="1:31" ht="17" customHeight="1" x14ac:dyDescent="0.2">
      <c r="A19" s="65" t="s">
        <v>19</v>
      </c>
      <c r="B19" s="65" t="s">
        <v>35</v>
      </c>
      <c r="C19" s="62">
        <v>6</v>
      </c>
      <c r="D19" s="66" t="s">
        <v>66</v>
      </c>
      <c r="E19" s="62" t="s">
        <v>61</v>
      </c>
      <c r="F19" s="112" t="s">
        <v>274</v>
      </c>
      <c r="G19" s="124">
        <v>9</v>
      </c>
      <c r="H19" s="150">
        <v>0.16336805555555556</v>
      </c>
      <c r="I19" s="55">
        <f>VLOOKUP(C19,'Points Table'!A$3:L$43,IF(A19="A Grade / Juniors",4,IF(A19="B Grade",6,IF(A19="C Grade",8,IF(A19="D Grade",10,12)))))</f>
        <v>285</v>
      </c>
      <c r="Q19" s="112"/>
      <c r="R19" s="67"/>
      <c r="S19" s="118"/>
    </row>
    <row r="20" spans="1:31" ht="17" customHeight="1" x14ac:dyDescent="0.2">
      <c r="A20" s="65" t="s">
        <v>19</v>
      </c>
      <c r="B20" s="65" t="s">
        <v>35</v>
      </c>
      <c r="C20" s="62">
        <v>7</v>
      </c>
      <c r="D20" s="66" t="s">
        <v>67</v>
      </c>
      <c r="E20" s="62" t="s">
        <v>61</v>
      </c>
      <c r="F20" s="112" t="s">
        <v>275</v>
      </c>
      <c r="G20" s="124">
        <v>8</v>
      </c>
      <c r="H20" s="150">
        <v>0.15783564814814816</v>
      </c>
      <c r="I20" s="55">
        <f>VLOOKUP(C20,'Points Table'!A$3:L$43,IF(A20="A Grade / Juniors",4,IF(A20="B Grade",6,IF(A20="C Grade",8,IF(A20="D Grade",10,12)))))</f>
        <v>277.5</v>
      </c>
    </row>
    <row r="21" spans="1:31" ht="17" customHeight="1" x14ac:dyDescent="0.2">
      <c r="A21" s="65" t="s">
        <v>19</v>
      </c>
      <c r="B21" s="65" t="s">
        <v>35</v>
      </c>
      <c r="C21" s="62">
        <v>8</v>
      </c>
      <c r="D21" s="66" t="s">
        <v>68</v>
      </c>
      <c r="E21" s="62" t="s">
        <v>61</v>
      </c>
      <c r="F21" s="112" t="s">
        <v>276</v>
      </c>
      <c r="G21" s="124">
        <v>7</v>
      </c>
      <c r="H21" s="150">
        <v>0.11869212962962963</v>
      </c>
      <c r="I21" s="55">
        <f>VLOOKUP(C21,'Points Table'!A$3:L$43,IF(A21="A Grade / Juniors",4,IF(A21="B Grade",6,IF(A21="C Grade",8,IF(A21="D Grade",10,12)))))</f>
        <v>270</v>
      </c>
      <c r="R21" s="112"/>
      <c r="S21" s="125"/>
      <c r="T21" s="125"/>
      <c r="U21" s="125"/>
      <c r="V21" s="125"/>
      <c r="W21" s="125"/>
      <c r="X21" s="125"/>
      <c r="Y21" s="123"/>
    </row>
    <row r="22" spans="1:31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 t="s">
        <v>277</v>
      </c>
      <c r="G22" s="124">
        <v>9</v>
      </c>
      <c r="H22" s="150">
        <v>0.15659722222222222</v>
      </c>
      <c r="I22" s="55">
        <f>VLOOKUP(C22,'Points Table'!A$3:L$43,IF(A22="A Grade / Juniors",4,IF(A22="B Grade",6,IF(A22="C Grade",8,IF(A22="D Grade",10,12)))))</f>
        <v>350</v>
      </c>
      <c r="Q22" s="112"/>
      <c r="R22" s="67"/>
      <c r="S22" s="118"/>
      <c r="T22" s="125"/>
      <c r="U22" s="125"/>
      <c r="V22" s="125"/>
      <c r="W22" s="125"/>
      <c r="X22" s="125"/>
      <c r="Y22" s="123"/>
    </row>
    <row r="23" spans="1:31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 t="s">
        <v>164</v>
      </c>
      <c r="G23" s="124">
        <v>9</v>
      </c>
      <c r="H23" s="150">
        <v>0.15884259259259259</v>
      </c>
      <c r="I23" s="55">
        <f>VLOOKUP(C23,'Points Table'!A$3:L$43,IF(A23="A Grade / Juniors",4,IF(A23="B Grade",6,IF(A23="C Grade",8,IF(A23="D Grade",10,12)))))</f>
        <v>315</v>
      </c>
      <c r="Q23" s="112"/>
      <c r="R23" s="67"/>
      <c r="S23" s="118"/>
      <c r="T23" s="125"/>
      <c r="U23" s="125"/>
      <c r="V23" s="125"/>
      <c r="W23" s="125"/>
      <c r="X23" s="125"/>
      <c r="Y23" s="123"/>
    </row>
    <row r="24" spans="1:31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 t="s">
        <v>278</v>
      </c>
      <c r="G24" s="124">
        <v>9</v>
      </c>
      <c r="H24" s="150">
        <v>0.16116898148148148</v>
      </c>
      <c r="I24" s="55">
        <f>VLOOKUP(C24,'Points Table'!A$3:L$43,IF(A24="A Grade / Juniors",4,IF(A24="B Grade",6,IF(A24="C Grade",8,IF(A24="D Grade",10,12)))))</f>
        <v>294</v>
      </c>
      <c r="Q24" s="112"/>
      <c r="R24" s="67"/>
      <c r="S24" s="118"/>
      <c r="T24" s="125"/>
      <c r="U24" s="125"/>
      <c r="V24" s="125"/>
      <c r="W24" s="125"/>
      <c r="X24" s="125"/>
      <c r="Y24" s="123"/>
    </row>
    <row r="25" spans="1:31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 t="s">
        <v>279</v>
      </c>
      <c r="G25" s="124">
        <v>9</v>
      </c>
      <c r="H25" s="150">
        <v>0.16121527777777778</v>
      </c>
      <c r="I25" s="55">
        <f>VLOOKUP(C25,'Points Table'!A$3:L$43,IF(A25="A Grade / Juniors",4,IF(A25="B Grade",6,IF(A25="C Grade",8,IF(A25="D Grade",10,12)))))</f>
        <v>280</v>
      </c>
      <c r="Q25" s="112"/>
      <c r="R25" s="67"/>
      <c r="S25" s="118"/>
      <c r="T25" s="125"/>
      <c r="U25" s="125"/>
      <c r="V25" s="125"/>
      <c r="W25" s="125"/>
      <c r="X25" s="125"/>
      <c r="Y25" s="123"/>
    </row>
    <row r="26" spans="1:31" ht="17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 t="s">
        <v>280</v>
      </c>
      <c r="G26" s="124">
        <v>9</v>
      </c>
      <c r="H26" s="150">
        <v>0.16326388888888888</v>
      </c>
      <c r="I26" s="55">
        <f>VLOOKUP(C26,'Points Table'!A$3:L$43,IF(A26="A Grade / Juniors",4,IF(A26="B Grade",6,IF(A26="C Grade",8,IF(A26="D Grade",10,12)))))</f>
        <v>273</v>
      </c>
      <c r="Q26" s="112"/>
      <c r="R26" s="67"/>
      <c r="S26" s="118"/>
      <c r="T26" s="125"/>
      <c r="U26" s="125"/>
      <c r="V26" s="125"/>
      <c r="W26" s="125"/>
      <c r="X26" s="125"/>
      <c r="Y26" s="123"/>
    </row>
    <row r="27" spans="1:31" ht="17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 t="s">
        <v>281</v>
      </c>
      <c r="G27" s="124">
        <v>9</v>
      </c>
      <c r="H27" s="150">
        <v>0.1635300925925926</v>
      </c>
      <c r="I27" s="55">
        <f>VLOOKUP(C27,'Points Table'!A$3:L$43,IF(A27="A Grade / Juniors",4,IF(A27="B Grade",6,IF(A27="C Grade",8,IF(A27="D Grade",10,12)))))</f>
        <v>266</v>
      </c>
      <c r="Q27" s="112"/>
      <c r="R27" s="67"/>
      <c r="S27" s="118"/>
      <c r="T27" s="125"/>
      <c r="U27" s="125"/>
      <c r="V27" s="125"/>
      <c r="W27" s="125"/>
      <c r="X27" s="125"/>
      <c r="Y27" s="123"/>
    </row>
    <row r="28" spans="1:31" ht="17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 t="s">
        <v>234</v>
      </c>
      <c r="G28" s="124">
        <v>8</v>
      </c>
      <c r="H28" s="150">
        <v>0.1509375</v>
      </c>
      <c r="I28" s="55">
        <f>VLOOKUP(C28,'Points Table'!A$3:L$43,IF(A28="A Grade / Juniors",4,IF(A28="B Grade",6,IF(A28="C Grade",8,IF(A28="D Grade",10,12)))))</f>
        <v>259</v>
      </c>
      <c r="Q28" s="112"/>
      <c r="R28" s="67"/>
      <c r="S28" s="118"/>
      <c r="T28" s="125"/>
      <c r="U28" s="125"/>
      <c r="V28" s="125"/>
      <c r="W28" s="125"/>
      <c r="X28" s="125"/>
      <c r="Y28" s="123"/>
    </row>
    <row r="29" spans="1:31" ht="19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 t="s">
        <v>235</v>
      </c>
      <c r="G29" s="124">
        <v>8</v>
      </c>
      <c r="H29" s="150">
        <v>0.15261574074074075</v>
      </c>
      <c r="I29" s="55">
        <f>VLOOKUP(C29,'Points Table'!A$3:L$43,IF(A29="A Grade / Juniors",4,IF(A29="B Grade",6,IF(A29="C Grade",8,IF(A29="D Grade",10,12)))))</f>
        <v>251.99999999999997</v>
      </c>
      <c r="Q29" s="112"/>
      <c r="R29" s="67"/>
      <c r="S29" s="118"/>
      <c r="T29" s="125"/>
      <c r="U29" s="125"/>
      <c r="V29" s="125"/>
      <c r="W29" s="125"/>
      <c r="X29" s="125"/>
      <c r="Y29" s="123"/>
      <c r="Z29" s="81"/>
      <c r="AA29" s="81"/>
      <c r="AB29" s="81"/>
      <c r="AC29" s="95"/>
      <c r="AD29" s="81"/>
      <c r="AE29"/>
    </row>
    <row r="30" spans="1:31" ht="19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 t="s">
        <v>282</v>
      </c>
      <c r="G30" s="124">
        <v>8</v>
      </c>
      <c r="H30" s="150">
        <v>0.15365740740740741</v>
      </c>
      <c r="I30" s="55">
        <f>VLOOKUP(C30,'Points Table'!A$3:L$43,IF(A30="A Grade / Juniors",4,IF(A30="B Grade",6,IF(A30="C Grade",8,IF(A30="D Grade",10,12)))))</f>
        <v>244.99999999999997</v>
      </c>
      <c r="R30" s="112"/>
      <c r="S30" s="125"/>
      <c r="T30" s="125"/>
      <c r="U30" s="125"/>
      <c r="V30" s="125"/>
      <c r="W30" s="125"/>
      <c r="X30" s="125"/>
      <c r="Y30" s="123"/>
      <c r="Z30" s="81"/>
      <c r="AA30" s="81"/>
      <c r="AB30" s="81"/>
      <c r="AC30" s="95"/>
      <c r="AD30" s="81"/>
      <c r="AE30"/>
    </row>
    <row r="31" spans="1:31" ht="19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 t="s">
        <v>233</v>
      </c>
      <c r="G31" s="124">
        <v>8</v>
      </c>
      <c r="H31" s="150">
        <v>0.15486111111111112</v>
      </c>
      <c r="I31" s="55">
        <f>VLOOKUP(C31,'Points Table'!A$3:L$43,IF(A31="A Grade / Juniors",4,IF(A31="B Grade",6,IF(A31="C Grade",8,IF(A31="D Grade",10,12)))))</f>
        <v>237.99999999999997</v>
      </c>
      <c r="R31" s="112"/>
      <c r="S31" s="125"/>
      <c r="T31" s="125"/>
      <c r="U31" s="125"/>
      <c r="V31" s="125"/>
      <c r="W31" s="125"/>
      <c r="X31" s="125"/>
      <c r="Y31" s="123"/>
      <c r="Z31" s="81"/>
      <c r="AA31" s="81"/>
      <c r="AB31" s="81"/>
      <c r="AC31" s="95"/>
      <c r="AD31" s="81"/>
      <c r="AE31"/>
    </row>
    <row r="32" spans="1:31" ht="19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 t="s">
        <v>283</v>
      </c>
      <c r="G32" s="124">
        <v>8</v>
      </c>
      <c r="H32" s="150">
        <v>0.1554976851851852</v>
      </c>
      <c r="I32" s="55">
        <f>VLOOKUP(C32,'Points Table'!A$3:L$43,IF(A32="A Grade / Juniors",4,IF(A32="B Grade",6,IF(A32="C Grade",8,IF(A32="D Grade",10,12)))))</f>
        <v>230.99999999999997</v>
      </c>
      <c r="R32" s="112"/>
      <c r="S32" s="112"/>
      <c r="T32" s="124"/>
      <c r="U32" s="123"/>
      <c r="V32" s="123"/>
      <c r="W32" s="125"/>
      <c r="X32" s="125"/>
      <c r="Y32" s="123"/>
      <c r="Z32" s="81"/>
      <c r="AA32" s="81"/>
      <c r="AB32" s="81"/>
      <c r="AC32" s="95"/>
      <c r="AD32" s="81"/>
      <c r="AE32"/>
    </row>
    <row r="33" spans="1:10" ht="17" customHeight="1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 t="s">
        <v>238</v>
      </c>
      <c r="G33" s="124">
        <v>7</v>
      </c>
      <c r="H33" s="150">
        <v>0.14587962962962964</v>
      </c>
      <c r="I33" s="55">
        <f>VLOOKUP(C33,'Points Table'!A$3:L$43,IF(A33="A Grade / Juniors",4,IF(A33="B Grade",6,IF(A33="C Grade",8,IF(A33="D Grade",10,12)))))</f>
        <v>224</v>
      </c>
      <c r="J33" s="64"/>
    </row>
    <row r="34" spans="1:10" ht="17" customHeight="1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 t="s">
        <v>284</v>
      </c>
      <c r="G34" s="124">
        <v>7</v>
      </c>
      <c r="H34" s="150">
        <v>0.15384259259259259</v>
      </c>
      <c r="I34" s="55">
        <f>VLOOKUP(C34,'Points Table'!A$3:L$43,IF(A34="A Grade / Juniors",4,IF(A34="B Grade",6,IF(A34="C Grade",8,IF(A34="D Grade",10,12)))))</f>
        <v>217</v>
      </c>
    </row>
    <row r="35" spans="1:10" ht="17" customHeight="1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 t="s">
        <v>165</v>
      </c>
      <c r="G35" s="124">
        <v>7</v>
      </c>
      <c r="H35" s="150">
        <v>0.15454861111111112</v>
      </c>
      <c r="I35" s="55">
        <f>VLOOKUP(C35,'Points Table'!A$3:L$43,IF(A35="A Grade / Juniors",4,IF(A35="B Grade",6,IF(A35="C Grade",8,IF(A35="D Grade",10,12)))))</f>
        <v>210</v>
      </c>
    </row>
    <row r="36" spans="1:10" ht="17" customHeight="1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 t="s">
        <v>229</v>
      </c>
      <c r="G36" s="124">
        <v>6</v>
      </c>
      <c r="H36" s="150">
        <v>0.11020833333333334</v>
      </c>
      <c r="I36" s="55">
        <f>VLOOKUP(C36,'Points Table'!A$3:L$43,IF(A36="A Grade / Juniors",4,IF(A36="B Grade",6,IF(A36="C Grade",8,IF(A36="D Grade",10,12)))))</f>
        <v>203</v>
      </c>
    </row>
    <row r="37" spans="1:10" ht="17" customHeight="1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112" t="s">
        <v>241</v>
      </c>
      <c r="G37" s="124">
        <v>9</v>
      </c>
      <c r="H37" s="150">
        <v>0.15009259259259258</v>
      </c>
      <c r="I37" s="55">
        <f>VLOOKUP(C37,'Points Table'!A$3:L$43,IF(A37="A Grade / Juniors",4,IF(A37="B Grade",6,IF(A37="C Grade",8,IF(A37="D Grade",10,12)))))</f>
        <v>300</v>
      </c>
    </row>
    <row r="38" spans="1:10" ht="17" customHeight="1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112" t="s">
        <v>195</v>
      </c>
      <c r="G38" s="124">
        <v>9</v>
      </c>
      <c r="H38" s="150">
        <v>0.16395833333333334</v>
      </c>
      <c r="I38" s="55">
        <f>VLOOKUP(C38,'Points Table'!A$3:L$43,IF(A38="A Grade / Juniors",4,IF(A38="B Grade",6,IF(A38="C Grade",8,IF(A38="D Grade",10,12)))))</f>
        <v>270</v>
      </c>
    </row>
    <row r="39" spans="1:10" ht="17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112" t="s">
        <v>208</v>
      </c>
      <c r="G39" s="124">
        <v>7</v>
      </c>
      <c r="H39" s="150">
        <v>0.14484953703703704</v>
      </c>
      <c r="I39" s="55">
        <f>VLOOKUP(C39,'Points Table'!A$3:L$43,IF(A39="A Grade / Juniors",4,IF(A39="B Grade",6,IF(A39="C Grade",8,IF(A39="D Grade",10,12)))))</f>
        <v>252</v>
      </c>
    </row>
    <row r="40" spans="1:10" ht="17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112" t="s">
        <v>285</v>
      </c>
      <c r="G40" s="124">
        <v>7</v>
      </c>
      <c r="H40" s="150">
        <v>0.14684027777777778</v>
      </c>
      <c r="I40" s="55">
        <f>VLOOKUP(C40,'Points Table'!A$3:L$43,IF(A40="A Grade / Juniors",4,IF(A40="B Grade",6,IF(A40="C Grade",8,IF(A40="D Grade",10,12)))))</f>
        <v>240</v>
      </c>
    </row>
    <row r="41" spans="1:10" ht="17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112" t="s">
        <v>286</v>
      </c>
      <c r="G41" s="124">
        <v>7</v>
      </c>
      <c r="H41" s="150">
        <v>0.14853009259259259</v>
      </c>
      <c r="I41" s="55">
        <f>VLOOKUP(C41,'Points Table'!A$3:L$43,IF(A41="A Grade / Juniors",4,IF(A41="B Grade",6,IF(A41="C Grade",8,IF(A41="D Grade",10,12)))))</f>
        <v>234</v>
      </c>
    </row>
    <row r="42" spans="1:10" ht="17" x14ac:dyDescent="0.2">
      <c r="A42" s="65" t="s">
        <v>23</v>
      </c>
      <c r="B42" s="65" t="s">
        <v>37</v>
      </c>
      <c r="C42" s="62">
        <v>6</v>
      </c>
      <c r="D42" s="66" t="s">
        <v>66</v>
      </c>
      <c r="E42" s="62" t="s">
        <v>61</v>
      </c>
      <c r="F42" s="112" t="s">
        <v>166</v>
      </c>
      <c r="G42" s="124">
        <v>7</v>
      </c>
      <c r="H42" s="150">
        <v>0.15454861111111112</v>
      </c>
      <c r="I42" s="55">
        <f>VLOOKUP(C42,'Points Table'!A$3:L$43,IF(A42="A Grade / Juniors",4,IF(A42="B Grade",6,IF(A42="C Grade",8,IF(A42="D Grade",10,12)))))</f>
        <v>228</v>
      </c>
    </row>
    <row r="43" spans="1:10" ht="17" customHeight="1" x14ac:dyDescent="0.2">
      <c r="A43" s="65" t="s">
        <v>23</v>
      </c>
      <c r="B43" s="65" t="s">
        <v>37</v>
      </c>
      <c r="C43" s="62">
        <v>7</v>
      </c>
      <c r="D43" s="66" t="s">
        <v>67</v>
      </c>
      <c r="E43" s="62" t="s">
        <v>61</v>
      </c>
      <c r="F43" s="112" t="s">
        <v>287</v>
      </c>
      <c r="G43" s="124">
        <v>6</v>
      </c>
      <c r="H43" s="150">
        <v>0.1552662037037037</v>
      </c>
      <c r="I43" s="55">
        <f>VLOOKUP(C43,'Points Table'!A$3:L$43,IF(A43="A Grade / Juniors",4,IF(A43="B Grade",6,IF(A43="C Grade",8,IF(A43="D Grade",10,12)))))</f>
        <v>222</v>
      </c>
    </row>
    <row r="44" spans="1:10" ht="17" customHeight="1" x14ac:dyDescent="0.2">
      <c r="A44" s="65" t="s">
        <v>59</v>
      </c>
      <c r="B44" s="65" t="s">
        <v>38</v>
      </c>
      <c r="C44" s="62">
        <v>1</v>
      </c>
      <c r="D44" s="66" t="s">
        <v>60</v>
      </c>
      <c r="E44" s="62" t="s">
        <v>61</v>
      </c>
      <c r="F44" s="112" t="s">
        <v>167</v>
      </c>
      <c r="G44" s="124">
        <v>9</v>
      </c>
      <c r="H44" s="150">
        <v>0.15966435185185185</v>
      </c>
      <c r="I44" s="55">
        <f>VLOOKUP(C44,'Points Table'!A$3:L$43,IF(A44="A Grade / Juniors",4,IF(A44="B Grade",6,IF(A44="C Grade",8,IF(A44="D Grade",10,12)))))</f>
        <v>500</v>
      </c>
    </row>
    <row r="45" spans="1:10" ht="17" customHeight="1" x14ac:dyDescent="0.2">
      <c r="A45" s="65" t="s">
        <v>19</v>
      </c>
      <c r="B45" s="65" t="s">
        <v>39</v>
      </c>
      <c r="C45" s="62">
        <v>1</v>
      </c>
      <c r="D45" s="66" t="s">
        <v>60</v>
      </c>
      <c r="E45" s="62" t="s">
        <v>61</v>
      </c>
      <c r="F45" s="112" t="s">
        <v>245</v>
      </c>
      <c r="G45" s="124">
        <v>8</v>
      </c>
      <c r="H45" s="150">
        <v>0.1607638888888889</v>
      </c>
      <c r="I45" s="55">
        <f>VLOOKUP(C45,'Points Table'!A$3:L$43,IF(A45="A Grade / Juniors",4,IF(A45="B Grade",6,IF(A45="C Grade",8,IF(A45="D Grade",10,12)))))</f>
        <v>375</v>
      </c>
    </row>
    <row r="46" spans="1:10" ht="17" customHeight="1" x14ac:dyDescent="0.2">
      <c r="A46" s="65" t="s">
        <v>21</v>
      </c>
      <c r="B46" s="65" t="s">
        <v>40</v>
      </c>
      <c r="C46" s="62">
        <v>1</v>
      </c>
      <c r="D46" s="66" t="s">
        <v>60</v>
      </c>
      <c r="E46" s="62" t="s">
        <v>61</v>
      </c>
      <c r="F46" s="112" t="s">
        <v>288</v>
      </c>
      <c r="G46" s="124">
        <v>7</v>
      </c>
      <c r="H46" s="150">
        <v>0.15606481481481482</v>
      </c>
      <c r="I46" s="55">
        <f>VLOOKUP(C46,'Points Table'!A$3:L$43,IF(A46="A Grade / Juniors",4,IF(A46="B Grade",6,IF(A46="C Grade",8,IF(A46="D Grade",10,12)))))</f>
        <v>350</v>
      </c>
    </row>
    <row r="47" spans="1:10" ht="17" customHeight="1" x14ac:dyDescent="0.2">
      <c r="A47" s="65" t="s">
        <v>21</v>
      </c>
      <c r="B47" s="65" t="s">
        <v>40</v>
      </c>
      <c r="C47" s="62">
        <v>2</v>
      </c>
      <c r="D47" s="66" t="s">
        <v>62</v>
      </c>
      <c r="E47" s="62" t="s">
        <v>61</v>
      </c>
      <c r="F47" s="112" t="s">
        <v>213</v>
      </c>
      <c r="G47" s="124">
        <v>5</v>
      </c>
      <c r="H47" s="150">
        <v>0.13229166666666667</v>
      </c>
      <c r="I47" s="55">
        <f>VLOOKUP(C47,'Points Table'!A$3:L$43,IF(A47="A Grade / Juniors",4,IF(A47="B Grade",6,IF(A47="C Grade",8,IF(A47="D Grade",10,12)))))</f>
        <v>315</v>
      </c>
    </row>
    <row r="48" spans="1:10" ht="17" customHeight="1" x14ac:dyDescent="0.2">
      <c r="A48" s="65" t="s">
        <v>41</v>
      </c>
      <c r="B48" s="65" t="s">
        <v>46</v>
      </c>
      <c r="C48" s="62">
        <v>1</v>
      </c>
      <c r="D48" s="66" t="s">
        <v>60</v>
      </c>
      <c r="E48" s="62" t="s">
        <v>61</v>
      </c>
      <c r="F48" s="112" t="s">
        <v>176</v>
      </c>
      <c r="G48" s="124">
        <v>6</v>
      </c>
      <c r="H48" s="150">
        <v>8.1840277777777776E-2</v>
      </c>
      <c r="I48" s="55">
        <f>VLOOKUP(C48,'Points Table'!A$3:L$43,IF(A48="A Grade / Juniors",4,IF(A48="B Grade",6,IF(A48="C Grade",8,IF(A48="D Grade",10,12)))))</f>
        <v>500</v>
      </c>
    </row>
    <row r="49" spans="1:19" ht="17" customHeight="1" x14ac:dyDescent="0.2">
      <c r="A49" s="65" t="s">
        <v>41</v>
      </c>
      <c r="B49" s="65" t="s">
        <v>46</v>
      </c>
      <c r="C49" s="62">
        <v>2</v>
      </c>
      <c r="D49" s="66" t="s">
        <v>62</v>
      </c>
      <c r="E49" s="62" t="s">
        <v>61</v>
      </c>
      <c r="F49" s="112" t="s">
        <v>186</v>
      </c>
      <c r="G49" s="124">
        <v>5</v>
      </c>
      <c r="H49" s="150">
        <v>7.0196759259259264E-2</v>
      </c>
      <c r="I49" s="55">
        <f>VLOOKUP(C49,'Points Table'!A$3:L$43,IF(A49="A Grade / Juniors",4,IF(A49="B Grade",6,IF(A49="C Grade",8,IF(A49="D Grade",10,12)))))</f>
        <v>450</v>
      </c>
    </row>
    <row r="50" spans="1:19" ht="17" customHeight="1" x14ac:dyDescent="0.2">
      <c r="A50" s="65" t="s">
        <v>41</v>
      </c>
      <c r="B50" s="65" t="s">
        <v>46</v>
      </c>
      <c r="C50" s="62">
        <v>3</v>
      </c>
      <c r="D50" s="66" t="s">
        <v>63</v>
      </c>
      <c r="E50" s="62" t="s">
        <v>61</v>
      </c>
      <c r="F50" s="112" t="s">
        <v>188</v>
      </c>
      <c r="G50" s="124">
        <v>5</v>
      </c>
      <c r="H50" s="150">
        <v>7.9895833333333333E-2</v>
      </c>
      <c r="I50" s="55">
        <f>VLOOKUP(C50,'Points Table'!A$3:L$43,IF(A50="A Grade / Juniors",4,IF(A50="B Grade",6,IF(A50="C Grade",8,IF(A50="D Grade",10,12)))))</f>
        <v>420</v>
      </c>
    </row>
    <row r="51" spans="1:19" ht="17" customHeight="1" x14ac:dyDescent="0.2">
      <c r="A51" s="65" t="s">
        <v>41</v>
      </c>
      <c r="B51" s="65" t="s">
        <v>46</v>
      </c>
      <c r="C51" s="62">
        <v>4</v>
      </c>
      <c r="D51" s="66" t="s">
        <v>64</v>
      </c>
      <c r="E51" s="62" t="s">
        <v>61</v>
      </c>
      <c r="F51" s="112" t="s">
        <v>258</v>
      </c>
      <c r="G51" s="124">
        <v>5</v>
      </c>
      <c r="H51" s="150">
        <v>8.1284722222222217E-2</v>
      </c>
      <c r="I51" s="55">
        <f>VLOOKUP(C51,'Points Table'!A$3:L$43,IF(A51="A Grade / Juniors",4,IF(A51="B Grade",6,IF(A51="C Grade",8,IF(A51="D Grade",10,12)))))</f>
        <v>400</v>
      </c>
    </row>
    <row r="52" spans="1:19" ht="17" customHeight="1" x14ac:dyDescent="0.2">
      <c r="A52" s="65" t="s">
        <v>41</v>
      </c>
      <c r="B52" s="65" t="s">
        <v>47</v>
      </c>
      <c r="C52" s="62">
        <v>1</v>
      </c>
      <c r="D52" s="66" t="s">
        <v>60</v>
      </c>
      <c r="E52" s="62" t="s">
        <v>61</v>
      </c>
      <c r="F52" s="112" t="s">
        <v>177</v>
      </c>
      <c r="G52" s="124">
        <v>5</v>
      </c>
      <c r="H52" s="150">
        <v>7.9131944444444449E-2</v>
      </c>
      <c r="I52" s="55">
        <f>VLOOKUP(C52,'Points Table'!A$3:L$43,IF(A52="A Grade / Juniors",4,IF(A52="B Grade",6,IF(A52="C Grade",8,IF(A52="D Grade",10,12)))))</f>
        <v>500</v>
      </c>
      <c r="Q52" s="112"/>
      <c r="R52" s="132"/>
      <c r="S52" s="118"/>
    </row>
    <row r="53" spans="1:19" ht="17" customHeight="1" x14ac:dyDescent="0.2">
      <c r="A53" s="65" t="s">
        <v>41</v>
      </c>
      <c r="B53" s="65" t="s">
        <v>47</v>
      </c>
      <c r="C53" s="62">
        <v>2</v>
      </c>
      <c r="D53" s="66" t="s">
        <v>62</v>
      </c>
      <c r="E53" s="62" t="s">
        <v>61</v>
      </c>
      <c r="F53" s="112" t="s">
        <v>179</v>
      </c>
      <c r="G53" s="124">
        <v>4</v>
      </c>
      <c r="H53" s="150">
        <v>6.9282407407407404E-2</v>
      </c>
      <c r="I53" s="55">
        <f>VLOOKUP(C53,'Points Table'!A$3:L$43,IF(A53="A Grade / Juniors",4,IF(A53="B Grade",6,IF(A53="C Grade",8,IF(A53="D Grade",10,12)))))</f>
        <v>450</v>
      </c>
      <c r="Q53" s="112"/>
      <c r="R53" s="132"/>
      <c r="S53" s="118"/>
    </row>
    <row r="54" spans="1:19" ht="17" customHeight="1" x14ac:dyDescent="0.2">
      <c r="A54" s="65" t="s">
        <v>41</v>
      </c>
      <c r="B54" s="65" t="s">
        <v>47</v>
      </c>
      <c r="C54" s="62">
        <v>3</v>
      </c>
      <c r="D54" s="66" t="s">
        <v>63</v>
      </c>
      <c r="E54" s="62" t="s">
        <v>61</v>
      </c>
      <c r="F54" s="112" t="s">
        <v>218</v>
      </c>
      <c r="G54" s="124">
        <v>3</v>
      </c>
      <c r="H54" s="150">
        <v>6.6793981481481482E-2</v>
      </c>
      <c r="I54" s="55">
        <f>VLOOKUP(C54,'Points Table'!A$3:L$43,IF(A54="A Grade / Juniors",4,IF(A54="B Grade",6,IF(A54="C Grade",8,IF(A54="D Grade",10,12)))))</f>
        <v>420</v>
      </c>
      <c r="Q54" s="112"/>
      <c r="R54" s="132"/>
      <c r="S54" s="118"/>
    </row>
    <row r="55" spans="1:19" ht="17" customHeight="1" x14ac:dyDescent="0.2">
      <c r="A55" s="65" t="s">
        <v>41</v>
      </c>
      <c r="B55" s="65" t="s">
        <v>86</v>
      </c>
      <c r="C55" s="62">
        <v>1</v>
      </c>
      <c r="D55" s="66" t="s">
        <v>60</v>
      </c>
      <c r="E55" s="62" t="s">
        <v>61</v>
      </c>
      <c r="F55" s="112" t="s">
        <v>289</v>
      </c>
      <c r="G55" s="124">
        <v>3</v>
      </c>
      <c r="H55" s="150">
        <v>7.5624999999999998E-2</v>
      </c>
      <c r="I55" s="55">
        <f>VLOOKUP(C55,'Points Table'!A$3:L$43,IF(A55="A Grade / Juniors",4,IF(A55="B Grade",6,IF(A55="C Grade",8,IF(A55="D Grade",10,12)))))</f>
        <v>500</v>
      </c>
      <c r="Q55" s="112"/>
      <c r="R55" s="67"/>
      <c r="S55" s="118"/>
    </row>
    <row r="56" spans="1:19" ht="17" x14ac:dyDescent="0.2">
      <c r="A56" s="65" t="s">
        <v>53</v>
      </c>
      <c r="B56" s="65" t="s">
        <v>300</v>
      </c>
      <c r="C56" s="62">
        <v>1</v>
      </c>
      <c r="D56" s="66" t="s">
        <v>60</v>
      </c>
      <c r="E56" s="62" t="s">
        <v>61</v>
      </c>
      <c r="F56" s="112" t="s">
        <v>230</v>
      </c>
      <c r="G56" s="163">
        <v>6</v>
      </c>
      <c r="H56" s="150">
        <v>9.9004629629629623E-2</v>
      </c>
      <c r="I56" s="55">
        <f>VLOOKUP(C56,'Points Table'!A$3:L$43,IF(A56="A Grade / Juniors",4,IF(A56="B Grade",6,IF(A56="C Grade",8,IF(A56="D Grade",10,12)))))</f>
        <v>250</v>
      </c>
    </row>
    <row r="57" spans="1:19" ht="17" x14ac:dyDescent="0.2">
      <c r="A57" s="65" t="s">
        <v>53</v>
      </c>
      <c r="B57" s="65" t="s">
        <v>300</v>
      </c>
      <c r="C57" s="62">
        <v>1</v>
      </c>
      <c r="D57" s="66" t="s">
        <v>60</v>
      </c>
      <c r="E57" s="62" t="s">
        <v>61</v>
      </c>
      <c r="F57" s="112" t="s">
        <v>313</v>
      </c>
      <c r="G57" s="163">
        <v>4</v>
      </c>
      <c r="H57" s="150">
        <v>5.7025462962962965E-2</v>
      </c>
      <c r="I57" s="55">
        <f>VLOOKUP(C57,'Points Table'!A$3:L$43,IF(A57="A Grade / Juniors",4,IF(A57="B Grade",6,IF(A57="C Grade",8,IF(A57="D Grade",10,12)))))</f>
        <v>250</v>
      </c>
    </row>
    <row r="58" spans="1:19" ht="17" x14ac:dyDescent="0.2">
      <c r="A58" s="65" t="s">
        <v>53</v>
      </c>
      <c r="B58" s="65" t="s">
        <v>300</v>
      </c>
      <c r="C58" s="62">
        <v>2</v>
      </c>
      <c r="D58" s="66" t="s">
        <v>62</v>
      </c>
      <c r="E58" s="62" t="s">
        <v>61</v>
      </c>
      <c r="F58" s="112" t="s">
        <v>311</v>
      </c>
      <c r="G58" s="163">
        <v>5</v>
      </c>
      <c r="H58" s="150">
        <v>9.4444444444444442E-2</v>
      </c>
      <c r="I58" s="55">
        <f>VLOOKUP(C58,'Points Table'!A$3:L$43,IF(A58="A Grade / Juniors",4,IF(A58="B Grade",6,IF(A58="C Grade",8,IF(A58="D Grade",10,12)))))</f>
        <v>225</v>
      </c>
    </row>
    <row r="59" spans="1:19" ht="17" x14ac:dyDescent="0.2">
      <c r="A59" s="65" t="s">
        <v>53</v>
      </c>
      <c r="B59" s="65" t="s">
        <v>300</v>
      </c>
      <c r="C59" s="62">
        <v>2</v>
      </c>
      <c r="D59" s="66" t="s">
        <v>62</v>
      </c>
      <c r="E59" s="62" t="s">
        <v>61</v>
      </c>
      <c r="F59" s="112" t="s">
        <v>312</v>
      </c>
      <c r="G59" s="163">
        <v>4</v>
      </c>
      <c r="H59" s="150">
        <v>6.9305555555555551E-2</v>
      </c>
      <c r="I59" s="55">
        <f>VLOOKUP(C59,'Points Table'!A$3:L$43,IF(A59="A Grade / Juniors",4,IF(A59="B Grade",6,IF(A59="C Grade",8,IF(A59="D Grade",10,12)))))</f>
        <v>225</v>
      </c>
    </row>
    <row r="60" spans="1:19" ht="17" x14ac:dyDescent="0.2">
      <c r="A60" s="65" t="s">
        <v>53</v>
      </c>
      <c r="B60" s="65" t="s">
        <v>303</v>
      </c>
      <c r="C60" s="62">
        <v>1</v>
      </c>
      <c r="D60" s="66" t="s">
        <v>60</v>
      </c>
      <c r="E60" s="62" t="s">
        <v>61</v>
      </c>
      <c r="F60" s="112" t="s">
        <v>248</v>
      </c>
      <c r="G60" s="163">
        <v>5</v>
      </c>
      <c r="H60" s="150">
        <v>0.10813657407407408</v>
      </c>
      <c r="I60" s="55">
        <f>VLOOKUP(C60,'Points Table'!A$3:L$43,IF(A60="A Grade / Juniors",4,IF(A60="B Grade",6,IF(A60="C Grade",8,IF(A60="D Grade",10,12)))))</f>
        <v>250</v>
      </c>
    </row>
    <row r="61" spans="1:19" ht="17" x14ac:dyDescent="0.2">
      <c r="A61" s="65" t="s">
        <v>53</v>
      </c>
      <c r="B61" s="65" t="s">
        <v>303</v>
      </c>
      <c r="C61" s="62">
        <v>1</v>
      </c>
      <c r="D61" s="66" t="s">
        <v>60</v>
      </c>
      <c r="E61" s="62" t="s">
        <v>61</v>
      </c>
      <c r="F61" s="112" t="s">
        <v>168</v>
      </c>
      <c r="G61" s="163">
        <v>3</v>
      </c>
      <c r="H61" s="150">
        <v>5.0312500000000003E-2</v>
      </c>
      <c r="I61" s="55">
        <f>VLOOKUP(C61,'Points Table'!A$3:L$43,IF(A61="A Grade / Juniors",4,IF(A61="B Grade",6,IF(A61="C Grade",8,IF(A61="D Grade",10,12)))))</f>
        <v>250</v>
      </c>
    </row>
    <row r="62" spans="1:19" ht="17" x14ac:dyDescent="0.2">
      <c r="A62" s="65" t="s">
        <v>53</v>
      </c>
      <c r="B62" s="65" t="s">
        <v>309</v>
      </c>
      <c r="C62" s="62">
        <v>1</v>
      </c>
      <c r="D62" s="66" t="s">
        <v>60</v>
      </c>
      <c r="E62" s="62" t="s">
        <v>61</v>
      </c>
      <c r="F62" s="112" t="s">
        <v>170</v>
      </c>
      <c r="G62" s="163">
        <v>6</v>
      </c>
      <c r="H62" s="150">
        <v>9.931712962962963E-2</v>
      </c>
      <c r="I62" s="55">
        <f>VLOOKUP(C62,'Points Table'!A$3:L$43,IF(A62="A Grade / Juniors",4,IF(A62="B Grade",6,IF(A62="C Grade",8,IF(A62="D Grade",10,12)))))</f>
        <v>250</v>
      </c>
    </row>
    <row r="63" spans="1:19" ht="17" x14ac:dyDescent="0.2">
      <c r="A63" s="65" t="s">
        <v>53</v>
      </c>
      <c r="B63" s="65" t="s">
        <v>310</v>
      </c>
      <c r="C63" s="62">
        <v>1</v>
      </c>
      <c r="D63" s="66" t="s">
        <v>60</v>
      </c>
      <c r="E63" s="62" t="s">
        <v>61</v>
      </c>
      <c r="F63" s="112" t="s">
        <v>158</v>
      </c>
      <c r="G63" s="163">
        <v>4</v>
      </c>
      <c r="H63" s="150">
        <v>5.590277777777778E-2</v>
      </c>
      <c r="I63" s="55">
        <f>VLOOKUP(C63,'Points Table'!A$3:L$43,IF(A63="A Grade / Juniors",4,IF(A63="B Grade",6,IF(A63="C Grade",8,IF(A63="D Grade",10,12)))))</f>
        <v>250</v>
      </c>
    </row>
    <row r="64" spans="1:19" ht="17" x14ac:dyDescent="0.2">
      <c r="A64" s="65" t="s">
        <v>53</v>
      </c>
      <c r="B64" s="65" t="s">
        <v>310</v>
      </c>
      <c r="C64" s="62">
        <v>2</v>
      </c>
      <c r="D64" s="66" t="s">
        <v>62</v>
      </c>
      <c r="E64" s="62" t="s">
        <v>61</v>
      </c>
      <c r="F64" s="112" t="s">
        <v>314</v>
      </c>
      <c r="G64" s="163">
        <v>6</v>
      </c>
      <c r="H64" s="150">
        <v>9.9803240740740734E-2</v>
      </c>
      <c r="I64" s="55">
        <f>VLOOKUP(C64,'Points Table'!A$3:L$43,IF(A64="A Grade / Juniors",4,IF(A64="B Grade",6,IF(A64="C Grade",8,IF(A64="D Grade",10,12)))))</f>
        <v>225</v>
      </c>
    </row>
    <row r="65" spans="1:9" ht="17" x14ac:dyDescent="0.2">
      <c r="A65" s="65" t="s">
        <v>53</v>
      </c>
      <c r="B65" s="65" t="s">
        <v>309</v>
      </c>
      <c r="C65" s="62">
        <v>2</v>
      </c>
      <c r="D65" s="66" t="s">
        <v>62</v>
      </c>
      <c r="E65" s="62" t="s">
        <v>61</v>
      </c>
      <c r="F65" s="112" t="s">
        <v>185</v>
      </c>
      <c r="G65" s="163">
        <v>3</v>
      </c>
      <c r="H65" s="150">
        <v>6.2789351851851846E-2</v>
      </c>
      <c r="I65" s="55">
        <f>VLOOKUP(C65,'Points Table'!A$3:L$43,IF(A65="A Grade / Juniors",4,IF(A65="B Grade",6,IF(A65="C Grade",8,IF(A65="D Grade",10,12)))))</f>
        <v>225</v>
      </c>
    </row>
    <row r="66" spans="1:9" ht="17" x14ac:dyDescent="0.2">
      <c r="A66" s="65" t="s">
        <v>53</v>
      </c>
      <c r="B66" s="65" t="s">
        <v>310</v>
      </c>
      <c r="C66" s="62">
        <v>3</v>
      </c>
      <c r="D66" s="66" t="s">
        <v>63</v>
      </c>
      <c r="E66" s="62" t="s">
        <v>61</v>
      </c>
      <c r="F66" s="112" t="s">
        <v>316</v>
      </c>
      <c r="G66" s="163">
        <v>4</v>
      </c>
      <c r="H66" s="150">
        <v>8.3101851851851857E-2</v>
      </c>
      <c r="I66" s="55">
        <f>VLOOKUP(C66,'Points Table'!A$3:L$43,IF(A66="A Grade / Juniors",4,IF(A66="B Grade",6,IF(A66="C Grade",8,IF(A66="D Grade",10,12)))))</f>
        <v>210</v>
      </c>
    </row>
    <row r="67" spans="1:9" ht="17" x14ac:dyDescent="0.2">
      <c r="A67" s="65" t="s">
        <v>53</v>
      </c>
      <c r="B67" s="65" t="s">
        <v>309</v>
      </c>
      <c r="C67" s="62">
        <v>3</v>
      </c>
      <c r="D67" s="66" t="s">
        <v>63</v>
      </c>
      <c r="E67" s="62" t="s">
        <v>61</v>
      </c>
      <c r="F67" s="112" t="s">
        <v>315</v>
      </c>
      <c r="G67" s="163">
        <v>3</v>
      </c>
      <c r="H67" s="150">
        <v>6.3483796296296302E-2</v>
      </c>
      <c r="I67" s="55">
        <f>VLOOKUP(C67,'Points Table'!A$3:L$43,IF(A67="A Grade / Juniors",4,IF(A67="B Grade",6,IF(A67="C Grade",8,IF(A67="D Grade",10,12)))))</f>
        <v>210</v>
      </c>
    </row>
    <row r="68" spans="1:9" ht="17" x14ac:dyDescent="0.2">
      <c r="A68" s="65" t="s">
        <v>53</v>
      </c>
      <c r="B68" s="65" t="s">
        <v>317</v>
      </c>
      <c r="C68" s="62">
        <v>1</v>
      </c>
      <c r="D68" s="66" t="s">
        <v>60</v>
      </c>
      <c r="E68" s="62" t="s">
        <v>61</v>
      </c>
      <c r="F68" s="112" t="s">
        <v>175</v>
      </c>
      <c r="G68" s="163">
        <v>6</v>
      </c>
      <c r="H68" s="150">
        <v>8.9305555555555555E-2</v>
      </c>
      <c r="I68" s="55">
        <f>VLOOKUP(C68,'Points Table'!A$3:L$43,IF(A68="A Grade / Juniors",4,IF(A68="B Grade",6,IF(A68="C Grade",8,IF(A68="D Grade",10,12)))))</f>
        <v>250</v>
      </c>
    </row>
    <row r="69" spans="1:9" ht="17" x14ac:dyDescent="0.2">
      <c r="A69" s="65" t="s">
        <v>53</v>
      </c>
      <c r="B69" s="65" t="s">
        <v>317</v>
      </c>
      <c r="C69" s="62">
        <v>1</v>
      </c>
      <c r="D69" s="66" t="s">
        <v>60</v>
      </c>
      <c r="E69" s="62" t="s">
        <v>61</v>
      </c>
      <c r="F69" s="112" t="s">
        <v>318</v>
      </c>
      <c r="G69" s="163">
        <v>4</v>
      </c>
      <c r="H69" s="150">
        <v>6.3715277777777773E-2</v>
      </c>
      <c r="I69" s="55">
        <f>VLOOKUP(C69,'Points Table'!A$3:L$43,IF(A69="A Grade / Juniors",4,IF(A69="B Grade",6,IF(A69="C Grade",8,IF(A69="D Grade",10,12)))))</f>
        <v>250</v>
      </c>
    </row>
    <row r="70" spans="1:9" ht="17" x14ac:dyDescent="0.2">
      <c r="A70" s="65" t="s">
        <v>53</v>
      </c>
      <c r="B70" s="65" t="s">
        <v>317</v>
      </c>
      <c r="C70" s="62">
        <v>1</v>
      </c>
      <c r="D70" s="66" t="s">
        <v>60</v>
      </c>
      <c r="E70" s="62" t="s">
        <v>61</v>
      </c>
      <c r="F70" s="112" t="s">
        <v>190</v>
      </c>
      <c r="G70" s="163">
        <v>6</v>
      </c>
      <c r="H70" s="150">
        <v>4.898148148148148E-2</v>
      </c>
      <c r="I70" s="55">
        <f>VLOOKUP(C70,'Points Table'!A$3:L$43,IF(A70="A Grade / Juniors",4,IF(A70="B Grade",6,IF(A70="C Grade",8,IF(A70="D Grade",10,12)))))</f>
        <v>250</v>
      </c>
    </row>
    <row r="71" spans="1:9" ht="17" x14ac:dyDescent="0.2">
      <c r="A71" s="65" t="s">
        <v>53</v>
      </c>
      <c r="B71" s="65" t="s">
        <v>317</v>
      </c>
      <c r="C71" s="62">
        <v>1</v>
      </c>
      <c r="D71" s="66" t="s">
        <v>60</v>
      </c>
      <c r="E71" s="62" t="s">
        <v>61</v>
      </c>
      <c r="F71" s="112" t="s">
        <v>197</v>
      </c>
      <c r="G71" s="163">
        <v>4</v>
      </c>
      <c r="H71" s="150">
        <v>3.3402777777777781E-2</v>
      </c>
      <c r="I71" s="55">
        <f>VLOOKUP(C71,'Points Table'!A$3:L$43,IF(A71="A Grade / Juniors",4,IF(A71="B Grade",6,IF(A71="C Grade",8,IF(A71="D Grade",10,12)))))</f>
        <v>250</v>
      </c>
    </row>
    <row r="72" spans="1:9" ht="17" x14ac:dyDescent="0.2">
      <c r="A72" s="65" t="s">
        <v>53</v>
      </c>
      <c r="B72" s="65" t="s">
        <v>317</v>
      </c>
      <c r="C72" s="62">
        <v>2</v>
      </c>
      <c r="D72" s="66" t="s">
        <v>62</v>
      </c>
      <c r="E72" s="62" t="s">
        <v>61</v>
      </c>
      <c r="F72" s="112" t="s">
        <v>319</v>
      </c>
      <c r="G72" s="163">
        <v>5</v>
      </c>
      <c r="H72" s="150">
        <v>4.7384259259259258E-2</v>
      </c>
      <c r="I72" s="55">
        <f>VLOOKUP(C72,'Points Table'!A$3:L$43,IF(A72="A Grade / Juniors",4,IF(A72="B Grade",6,IF(A72="C Grade",8,IF(A72="D Grade",10,12)))))</f>
        <v>225</v>
      </c>
    </row>
    <row r="73" spans="1:9" ht="17" x14ac:dyDescent="0.2">
      <c r="A73" s="65" t="s">
        <v>53</v>
      </c>
      <c r="B73" s="65" t="s">
        <v>317</v>
      </c>
      <c r="C73" s="62">
        <v>2</v>
      </c>
      <c r="D73" s="66" t="s">
        <v>62</v>
      </c>
      <c r="E73" s="62" t="s">
        <v>61</v>
      </c>
      <c r="F73" s="112" t="s">
        <v>320</v>
      </c>
      <c r="G73" s="163">
        <v>3</v>
      </c>
      <c r="H73" s="150">
        <v>3.0208333333333334E-2</v>
      </c>
      <c r="I73" s="55">
        <f>VLOOKUP(C73,'Points Table'!A$3:L$43,IF(A73="A Grade / Juniors",4,IF(A73="B Grade",6,IF(A73="C Grade",8,IF(A73="D Grade",10,12)))))</f>
        <v>225</v>
      </c>
    </row>
    <row r="74" spans="1:9" x14ac:dyDescent="0.2">
      <c r="A74" s="65"/>
      <c r="G74" s="163"/>
      <c r="H74" s="150"/>
    </row>
    <row r="75" spans="1:9" x14ac:dyDescent="0.2">
      <c r="A75" s="65"/>
      <c r="G75" s="163"/>
      <c r="H75" s="150"/>
    </row>
    <row r="76" spans="1:9" x14ac:dyDescent="0.2">
      <c r="A76" s="65"/>
      <c r="G76" s="163"/>
      <c r="H76" s="150"/>
    </row>
    <row r="77" spans="1:9" x14ac:dyDescent="0.2">
      <c r="A77" s="65"/>
      <c r="G77" s="163"/>
      <c r="H77" s="150"/>
    </row>
  </sheetData>
  <phoneticPr fontId="1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D59"/>
  <sheetViews>
    <sheetView topLeftCell="A18" workbookViewId="0">
      <selection activeCell="F63" sqref="F6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33.3320312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 t="s">
        <v>156</v>
      </c>
      <c r="G2" s="72">
        <v>8</v>
      </c>
      <c r="H2" s="150">
        <v>0.15520833333333334</v>
      </c>
      <c r="I2" s="55">
        <f>VLOOKUP(C2,'Points Table'!A$3:L$43,IF(A2="A Grade / Juniors",4,IF(A2="B Grade",6,IF(A2="C Grade",8,IF(A2="D Grade",10,12)))))</f>
        <v>500</v>
      </c>
      <c r="T2" s="81"/>
      <c r="W2" s="81"/>
      <c r="X2" s="81"/>
      <c r="Y2" s="81"/>
      <c r="Z2" s="81"/>
      <c r="AA2" s="95"/>
      <c r="AB2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 t="s">
        <v>290</v>
      </c>
      <c r="G3" s="72">
        <v>8</v>
      </c>
      <c r="H3" s="150">
        <v>0.16042824074074075</v>
      </c>
      <c r="I3" s="55">
        <f>VLOOKUP(C3,'Points Table'!A$3:L$43,IF(A3="A Grade / Juniors",4,IF(A3="B Grade",6,IF(A3="C Grade",8,IF(A3="D Grade",10,12)))))</f>
        <v>450</v>
      </c>
      <c r="R3" s="81"/>
      <c r="S3" s="81"/>
      <c r="T3" s="81"/>
      <c r="U3" s="81"/>
      <c r="V3" s="81"/>
      <c r="W3" s="81"/>
      <c r="X3" s="81"/>
      <c r="Y3" s="81"/>
      <c r="Z3" s="81"/>
      <c r="AA3" s="95"/>
      <c r="AB3" s="81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 t="s">
        <v>267</v>
      </c>
      <c r="G4" s="72">
        <v>8</v>
      </c>
      <c r="H4" s="150">
        <v>0.16258101851851853</v>
      </c>
      <c r="I4" s="55">
        <f>VLOOKUP(C4,'Points Table'!A$3:L$43,IF(A4="A Grade / Juniors",4,IF(A4="B Grade",6,IF(A4="C Grade",8,IF(A4="D Grade",10,12)))))</f>
        <v>420</v>
      </c>
      <c r="R4" s="81"/>
      <c r="S4" s="81"/>
      <c r="T4" s="81"/>
      <c r="U4" s="81"/>
      <c r="V4" s="81"/>
      <c r="W4" s="81"/>
      <c r="X4" s="81"/>
      <c r="Y4" s="81"/>
      <c r="Z4" s="81"/>
      <c r="AA4" s="95"/>
      <c r="AB4" s="81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 t="s">
        <v>157</v>
      </c>
      <c r="G5" s="72">
        <v>7</v>
      </c>
      <c r="H5" s="150">
        <v>0.13819444444444445</v>
      </c>
      <c r="I5" s="55">
        <f>VLOOKUP(C5,'Points Table'!A$3:L$43,IF(A5="A Grade / Juniors",4,IF(A5="B Grade",6,IF(A5="C Grade",8,IF(A5="D Grade",10,12)))))</f>
        <v>400</v>
      </c>
      <c r="R5" s="81"/>
      <c r="S5" s="81"/>
      <c r="T5" s="81"/>
      <c r="U5" s="81"/>
      <c r="V5" s="81"/>
      <c r="W5" s="81"/>
      <c r="X5" s="81"/>
      <c r="Y5" s="81"/>
      <c r="Z5" s="81"/>
      <c r="AA5" s="95"/>
      <c r="AB5" s="81"/>
      <c r="AC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 t="s">
        <v>200</v>
      </c>
      <c r="G6" s="72">
        <v>7</v>
      </c>
      <c r="H6" s="150">
        <v>0.15075231481481483</v>
      </c>
      <c r="I6" s="55">
        <f>VLOOKUP(C6,'Points Table'!A$3:L$43,IF(A6="A Grade / Juniors",4,IF(A6="B Grade",6,IF(A6="C Grade",8,IF(A6="D Grade",10,12)))))</f>
        <v>390</v>
      </c>
      <c r="R6" s="81"/>
      <c r="S6" s="81"/>
      <c r="T6" s="81"/>
      <c r="U6" s="81"/>
      <c r="X6" s="81"/>
      <c r="Y6" s="81"/>
      <c r="Z6" s="81"/>
      <c r="AA6" s="81"/>
      <c r="AB6" s="95"/>
      <c r="AC6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 t="s">
        <v>291</v>
      </c>
      <c r="G7" s="72">
        <v>3</v>
      </c>
      <c r="H7" s="150">
        <v>5.5312500000000001E-2</v>
      </c>
      <c r="I7" s="55">
        <f>VLOOKUP(C7,'Points Table'!A$3:L$43,IF(A7="A Grade / Juniors",4,IF(A7="B Grade",6,IF(A7="C Grade",8,IF(A7="D Grade",10,12)))))</f>
        <v>380</v>
      </c>
      <c r="R7" s="81"/>
      <c r="S7" s="81"/>
      <c r="T7" s="81"/>
      <c r="U7" s="81"/>
      <c r="V7" s="81"/>
      <c r="W7" s="81"/>
      <c r="X7" s="81"/>
      <c r="Y7" s="81"/>
      <c r="Z7" s="81"/>
      <c r="AA7" s="81"/>
      <c r="AB7" s="95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 t="s">
        <v>271</v>
      </c>
      <c r="G8" s="72">
        <v>3</v>
      </c>
      <c r="H8" s="150">
        <v>6.4432870370370376E-2</v>
      </c>
      <c r="I8" s="55">
        <f>VLOOKUP(C8,'Points Table'!A$3:L$43,IF(A8="A Grade / Juniors",4,IF(A8="B Grade",6,IF(A8="C Grade",8,IF(A8="D Grade",10,12)))))</f>
        <v>370</v>
      </c>
      <c r="R8" s="81"/>
      <c r="S8" s="81"/>
      <c r="T8" s="81"/>
      <c r="U8" s="81"/>
      <c r="V8" s="81"/>
      <c r="W8" s="81"/>
      <c r="X8" s="81"/>
      <c r="Y8" s="81"/>
      <c r="Z8" s="81"/>
      <c r="AA8" s="81"/>
      <c r="AB8" s="95"/>
      <c r="AC8" s="81"/>
    </row>
    <row r="9" spans="1:29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112" t="s">
        <v>292</v>
      </c>
      <c r="G9" s="72">
        <v>7</v>
      </c>
      <c r="H9" s="150">
        <v>0.14604166666666665</v>
      </c>
      <c r="I9" s="55">
        <f>VLOOKUP(C9,'Points Table'!A$3:L$43,IF(A9="A Grade / Juniors",4,IF(A9="B Grade",6,IF(A9="C Grade",8,IF(A9="D Grade",10,12)))))</f>
        <v>375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95"/>
      <c r="AC9" s="81"/>
    </row>
    <row r="10" spans="1:29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112" t="s">
        <v>293</v>
      </c>
      <c r="G10" s="72">
        <v>7</v>
      </c>
      <c r="H10" s="150">
        <v>0.15203703703703703</v>
      </c>
      <c r="I10" s="55">
        <f>VLOOKUP(C10,'Points Table'!A$3:L$43,IF(A10="A Grade / Juniors",4,IF(A10="B Grade",6,IF(A10="C Grade",8,IF(A10="D Grade",10,12)))))</f>
        <v>337.5</v>
      </c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95"/>
      <c r="AC10" s="81"/>
    </row>
    <row r="11" spans="1:29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112" t="s">
        <v>294</v>
      </c>
      <c r="G11" s="72">
        <v>7</v>
      </c>
      <c r="H11" s="150">
        <v>0.15447916666666667</v>
      </c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95"/>
      <c r="AC11" s="81"/>
    </row>
    <row r="12" spans="1:29" ht="17" customHeight="1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112" t="s">
        <v>276</v>
      </c>
      <c r="G12" s="72">
        <v>7</v>
      </c>
      <c r="H12" s="150">
        <v>0.15921296296296297</v>
      </c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95"/>
      <c r="AC12" s="81"/>
    </row>
    <row r="13" spans="1:29" ht="17" customHeight="1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112" t="s">
        <v>159</v>
      </c>
      <c r="G13" s="72">
        <v>7</v>
      </c>
      <c r="H13" s="150">
        <v>0.16495370370370371</v>
      </c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95"/>
      <c r="AC13"/>
    </row>
    <row r="14" spans="1:29" ht="17" customHeight="1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112" t="s">
        <v>183</v>
      </c>
      <c r="G14" s="72">
        <v>6</v>
      </c>
      <c r="H14" s="150">
        <v>0.14811342592592591</v>
      </c>
      <c r="I14" s="55">
        <f>VLOOKUP(C14,'Points Table'!A$3:L$43,IF(A14="A Grade / Juniors",4,IF(A14="B Grade",6,IF(A14="C Grade",8,IF(A14="D Grade",10,12)))))</f>
        <v>285</v>
      </c>
      <c r="R14" s="112"/>
      <c r="S14" s="117"/>
      <c r="T14" s="81"/>
      <c r="U14" s="81"/>
      <c r="V14" s="81"/>
      <c r="W14" s="81"/>
      <c r="X14" s="81"/>
      <c r="Y14" s="82"/>
      <c r="AB14" s="81"/>
      <c r="AC14" s="81"/>
    </row>
    <row r="15" spans="1:29" ht="17" customHeight="1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112" t="s">
        <v>295</v>
      </c>
      <c r="G15" s="72">
        <v>5</v>
      </c>
      <c r="H15" s="150">
        <v>0.11219907407407408</v>
      </c>
      <c r="I15" s="55">
        <f>VLOOKUP(C15,'Points Table'!A$3:L$43,IF(A15="A Grade / Juniors",4,IF(A15="B Grade",6,IF(A15="C Grade",8,IF(A15="D Grade",10,12)))))</f>
        <v>277.5</v>
      </c>
      <c r="R15" s="112"/>
      <c r="S15" s="117"/>
      <c r="T15" s="81"/>
      <c r="U15" s="81"/>
      <c r="V15" s="81"/>
      <c r="W15" s="81"/>
      <c r="X15" s="81"/>
      <c r="Y15" s="82"/>
      <c r="AB15" s="81"/>
      <c r="AC15"/>
    </row>
    <row r="16" spans="1:29" ht="17" customHeight="1" x14ac:dyDescent="0.2">
      <c r="A16" s="65" t="s">
        <v>19</v>
      </c>
      <c r="B16" s="65" t="s">
        <v>35</v>
      </c>
      <c r="C16" s="62">
        <v>8</v>
      </c>
      <c r="D16" s="66" t="s">
        <v>68</v>
      </c>
      <c r="E16" s="62" t="s">
        <v>61</v>
      </c>
      <c r="F16" s="112" t="s">
        <v>241</v>
      </c>
      <c r="G16" s="72">
        <v>5</v>
      </c>
      <c r="H16" s="150">
        <v>0.11704861111111112</v>
      </c>
      <c r="I16" s="55">
        <f>VLOOKUP(C16,'Points Table'!A$3:L$43,IF(A16="A Grade / Juniors",4,IF(A16="B Grade",6,IF(A16="C Grade",8,IF(A16="D Grade",10,12)))))</f>
        <v>270</v>
      </c>
      <c r="R16" s="112"/>
      <c r="S16" s="117"/>
      <c r="T16" s="81"/>
      <c r="W16" s="81"/>
      <c r="X16" s="81"/>
      <c r="Y16" s="81"/>
      <c r="Z16" s="81"/>
      <c r="AA16" s="95"/>
      <c r="AB16"/>
    </row>
    <row r="17" spans="1:30" ht="19" x14ac:dyDescent="0.2">
      <c r="A17" s="65" t="s">
        <v>21</v>
      </c>
      <c r="B17" s="65" t="s">
        <v>36</v>
      </c>
      <c r="C17" s="62">
        <v>1</v>
      </c>
      <c r="D17" s="66" t="s">
        <v>60</v>
      </c>
      <c r="E17" s="62" t="s">
        <v>61</v>
      </c>
      <c r="F17" s="112" t="s">
        <v>229</v>
      </c>
      <c r="G17" s="72">
        <v>6</v>
      </c>
      <c r="H17" s="150">
        <v>0.1386111111111111</v>
      </c>
      <c r="I17" s="55">
        <f>VLOOKUP(C17,'Points Table'!A$3:L$43,IF(A17="A Grade / Juniors",4,IF(A17="B Grade",6,IF(A17="C Grade",8,IF(A17="D Grade",10,12)))))</f>
        <v>350</v>
      </c>
      <c r="T17" s="81"/>
      <c r="U17" s="81"/>
      <c r="V17" s="81"/>
      <c r="W17" s="81"/>
      <c r="X17" s="81"/>
      <c r="Y17" s="81"/>
      <c r="Z17" s="81"/>
      <c r="AA17" s="95"/>
      <c r="AB17" s="81"/>
    </row>
    <row r="18" spans="1:30" ht="19" x14ac:dyDescent="0.2">
      <c r="A18" s="65" t="s">
        <v>21</v>
      </c>
      <c r="B18" s="65" t="s">
        <v>36</v>
      </c>
      <c r="C18" s="62">
        <v>2</v>
      </c>
      <c r="D18" s="66" t="s">
        <v>62</v>
      </c>
      <c r="E18" s="62" t="s">
        <v>61</v>
      </c>
      <c r="F18" s="112" t="s">
        <v>164</v>
      </c>
      <c r="G18" s="72">
        <v>6</v>
      </c>
      <c r="H18" s="150">
        <v>0.14521990740740739</v>
      </c>
      <c r="I18" s="55">
        <f>VLOOKUP(C18,'Points Table'!A$3:L$43,IF(A18="A Grade / Juniors",4,IF(A18="B Grade",6,IF(A18="C Grade",8,IF(A18="D Grade",10,12)))))</f>
        <v>315</v>
      </c>
      <c r="R18" s="116"/>
      <c r="S18" s="81"/>
      <c r="T18" s="81"/>
      <c r="U18" s="81"/>
      <c r="V18" s="81"/>
      <c r="W18" s="81"/>
      <c r="X18" s="81"/>
      <c r="Y18" s="81"/>
      <c r="Z18" s="81"/>
      <c r="AA18" s="95"/>
      <c r="AB18" s="81"/>
    </row>
    <row r="19" spans="1:30" ht="17" customHeight="1" x14ac:dyDescent="0.2">
      <c r="A19" s="65" t="s">
        <v>21</v>
      </c>
      <c r="B19" s="65" t="s">
        <v>36</v>
      </c>
      <c r="C19" s="62">
        <v>3</v>
      </c>
      <c r="D19" s="66" t="s">
        <v>63</v>
      </c>
      <c r="E19" s="62" t="s">
        <v>61</v>
      </c>
      <c r="F19" s="112" t="s">
        <v>279</v>
      </c>
      <c r="G19" s="72">
        <v>6</v>
      </c>
      <c r="H19" s="150">
        <v>0.14837962962962964</v>
      </c>
      <c r="I19" s="55">
        <f>VLOOKUP(C19,'Points Table'!A$3:L$43,IF(A19="A Grade / Juniors",4,IF(A19="B Grade",6,IF(A19="C Grade",8,IF(A19="D Grade",10,12)))))</f>
        <v>294</v>
      </c>
      <c r="R19" s="116"/>
      <c r="S19" s="81"/>
      <c r="T19" s="81"/>
      <c r="U19" s="81"/>
      <c r="V19" s="81"/>
      <c r="W19" s="81"/>
      <c r="X19" s="81"/>
      <c r="Y19" s="81"/>
      <c r="Z19" s="81"/>
      <c r="AA19" s="95"/>
      <c r="AB19" s="81"/>
    </row>
    <row r="20" spans="1:30" ht="17" customHeight="1" x14ac:dyDescent="0.2">
      <c r="A20" s="65" t="s">
        <v>21</v>
      </c>
      <c r="B20" s="65" t="s">
        <v>36</v>
      </c>
      <c r="C20" s="62">
        <v>4</v>
      </c>
      <c r="D20" s="66" t="s">
        <v>64</v>
      </c>
      <c r="E20" s="62" t="s">
        <v>61</v>
      </c>
      <c r="F20" s="112" t="s">
        <v>296</v>
      </c>
      <c r="G20" s="72">
        <v>5</v>
      </c>
      <c r="H20" s="150">
        <v>0.13908564814814814</v>
      </c>
      <c r="I20" s="55">
        <f>VLOOKUP(C20,'Points Table'!A$3:L$43,IF(A20="A Grade / Juniors",4,IF(A20="B Grade",6,IF(A20="C Grade",8,IF(A20="D Grade",10,12)))))</f>
        <v>280</v>
      </c>
      <c r="R20" s="116"/>
      <c r="S20" s="81"/>
      <c r="T20" s="81"/>
      <c r="U20" s="81"/>
      <c r="V20" s="81"/>
      <c r="W20" s="81"/>
      <c r="X20" s="81"/>
      <c r="Y20" s="81"/>
      <c r="Z20" s="81"/>
      <c r="AA20" s="95"/>
      <c r="AB20" s="81"/>
    </row>
    <row r="21" spans="1:30" ht="17" customHeight="1" x14ac:dyDescent="0.2">
      <c r="A21" s="65" t="s">
        <v>21</v>
      </c>
      <c r="B21" s="65" t="s">
        <v>36</v>
      </c>
      <c r="C21" s="62">
        <v>5</v>
      </c>
      <c r="D21" s="66" t="s">
        <v>65</v>
      </c>
      <c r="E21" s="62" t="s">
        <v>61</v>
      </c>
      <c r="F21" s="112" t="s">
        <v>233</v>
      </c>
      <c r="G21" s="72">
        <v>5</v>
      </c>
      <c r="H21" s="150">
        <v>0.1408912037037037</v>
      </c>
      <c r="I21" s="55">
        <f>VLOOKUP(C21,'Points Table'!A$3:L$43,IF(A21="A Grade / Juniors",4,IF(A21="B Grade",6,IF(A21="C Grade",8,IF(A21="D Grade",10,12)))))</f>
        <v>273</v>
      </c>
      <c r="R21" s="90"/>
      <c r="S21" s="81"/>
      <c r="T21" s="81"/>
      <c r="U21" s="81"/>
      <c r="V21" s="81"/>
      <c r="W21" s="81"/>
      <c r="X21" s="81"/>
      <c r="Y21" s="81"/>
      <c r="Z21" s="81"/>
      <c r="AA21" s="95"/>
      <c r="AB21" s="81"/>
    </row>
    <row r="22" spans="1:30" ht="17" customHeight="1" x14ac:dyDescent="0.2">
      <c r="A22" s="65" t="s">
        <v>21</v>
      </c>
      <c r="B22" s="65" t="s">
        <v>36</v>
      </c>
      <c r="C22" s="62">
        <v>6</v>
      </c>
      <c r="D22" s="66" t="s">
        <v>66</v>
      </c>
      <c r="E22" s="62" t="s">
        <v>61</v>
      </c>
      <c r="F22" s="112" t="s">
        <v>284</v>
      </c>
      <c r="G22" s="72">
        <v>4</v>
      </c>
      <c r="H22" s="150">
        <v>0.13726851851851851</v>
      </c>
      <c r="I22" s="55">
        <f>VLOOKUP(C22,'Points Table'!A$3:L$43,IF(A22="A Grade / Juniors",4,IF(A22="B Grade",6,IF(A22="C Grade",8,IF(A22="D Grade",10,12)))))</f>
        <v>266</v>
      </c>
      <c r="S22" s="81"/>
      <c r="T22" s="81"/>
      <c r="U22" s="81"/>
      <c r="V22" s="81"/>
      <c r="W22" s="81"/>
      <c r="X22" s="95"/>
      <c r="Y22" s="81"/>
      <c r="Z22" s="81"/>
      <c r="AA22" s="95"/>
      <c r="AB22" s="81"/>
    </row>
    <row r="23" spans="1:30" ht="17" customHeight="1" x14ac:dyDescent="0.2">
      <c r="A23" s="65" t="s">
        <v>21</v>
      </c>
      <c r="B23" s="65" t="s">
        <v>36</v>
      </c>
      <c r="C23" s="62">
        <v>7</v>
      </c>
      <c r="D23" s="66" t="s">
        <v>67</v>
      </c>
      <c r="E23" s="62" t="s">
        <v>61</v>
      </c>
      <c r="F23" s="112" t="s">
        <v>283</v>
      </c>
      <c r="G23" s="72">
        <v>3</v>
      </c>
      <c r="H23" s="150">
        <v>8.4282407407407403E-2</v>
      </c>
      <c r="I23" s="55">
        <f>VLOOKUP(C23,'Points Table'!A$3:L$43,IF(A23="A Grade / Juniors",4,IF(A23="B Grade",6,IF(A23="C Grade",8,IF(A23="D Grade",10,12)))))</f>
        <v>259</v>
      </c>
      <c r="R23" s="90"/>
      <c r="S23" s="81"/>
      <c r="T23" s="81"/>
      <c r="U23" s="81"/>
      <c r="V23" s="81"/>
      <c r="W23" s="81"/>
      <c r="Y23" s="81"/>
      <c r="Z23" s="81"/>
      <c r="AA23" s="81"/>
      <c r="AB23" s="81"/>
      <c r="AC23" s="95"/>
      <c r="AD23"/>
    </row>
    <row r="24" spans="1:30" ht="17" customHeight="1" x14ac:dyDescent="0.2">
      <c r="A24" s="65" t="s">
        <v>21</v>
      </c>
      <c r="B24" s="65" t="s">
        <v>36</v>
      </c>
      <c r="C24" s="62">
        <v>8</v>
      </c>
      <c r="D24" s="66" t="s">
        <v>68</v>
      </c>
      <c r="E24" s="62" t="s">
        <v>61</v>
      </c>
      <c r="F24" s="112" t="s">
        <v>230</v>
      </c>
      <c r="G24" s="72">
        <v>1</v>
      </c>
      <c r="H24" s="150">
        <v>2.4537037037037038E-2</v>
      </c>
      <c r="I24" s="55">
        <f>VLOOKUP(C24,'Points Table'!A$3:L$43,IF(A24="A Grade / Juniors",4,IF(A24="B Grade",6,IF(A24="C Grade",8,IF(A24="D Grade",10,12)))))</f>
        <v>251.99999999999997</v>
      </c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95"/>
      <c r="AD24" s="81"/>
    </row>
    <row r="25" spans="1:30" ht="17" customHeight="1" x14ac:dyDescent="0.2">
      <c r="A25" s="65" t="s">
        <v>23</v>
      </c>
      <c r="B25" s="65" t="s">
        <v>37</v>
      </c>
      <c r="C25" s="62">
        <v>1</v>
      </c>
      <c r="D25" s="66" t="s">
        <v>60</v>
      </c>
      <c r="E25" s="62" t="s">
        <v>61</v>
      </c>
      <c r="F25" s="112" t="s">
        <v>297</v>
      </c>
      <c r="G25" s="72">
        <v>5</v>
      </c>
      <c r="H25" s="150">
        <v>0.13814814814814816</v>
      </c>
      <c r="I25" s="55">
        <f>VLOOKUP(C25,'Points Table'!A$3:L$43,IF(A25="A Grade / Juniors",4,IF(A25="B Grade",6,IF(A25="C Grade",8,IF(A25="D Grade",10,12)))))</f>
        <v>300</v>
      </c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95"/>
      <c r="AD25"/>
    </row>
    <row r="26" spans="1:30" ht="17" customHeight="1" x14ac:dyDescent="0.2">
      <c r="A26" s="65" t="s">
        <v>23</v>
      </c>
      <c r="B26" s="65" t="s">
        <v>37</v>
      </c>
      <c r="C26" s="62">
        <v>2</v>
      </c>
      <c r="D26" s="66" t="s">
        <v>62</v>
      </c>
      <c r="E26" s="62" t="s">
        <v>61</v>
      </c>
      <c r="F26" s="112" t="s">
        <v>298</v>
      </c>
      <c r="G26" s="72">
        <v>5</v>
      </c>
      <c r="H26" s="150">
        <v>0.14033564814814814</v>
      </c>
      <c r="I26" s="55">
        <f>VLOOKUP(C26,'Points Table'!A$3:L$43,IF(A26="A Grade / Juniors",4,IF(A26="B Grade",6,IF(A26="C Grade",8,IF(A26="D Grade",10,12)))))</f>
        <v>270</v>
      </c>
      <c r="T26" s="81"/>
      <c r="U26" s="81"/>
      <c r="V26" s="81"/>
      <c r="W26" s="81"/>
      <c r="X26" s="81"/>
      <c r="Y26" s="81"/>
      <c r="Z26" s="81"/>
      <c r="AA26" s="82"/>
      <c r="AB26" s="81"/>
    </row>
    <row r="27" spans="1:30" ht="17" customHeight="1" x14ac:dyDescent="0.2">
      <c r="A27" s="65" t="s">
        <v>23</v>
      </c>
      <c r="B27" s="65" t="s">
        <v>37</v>
      </c>
      <c r="C27" s="62">
        <v>3</v>
      </c>
      <c r="D27" s="66" t="s">
        <v>63</v>
      </c>
      <c r="E27" s="62" t="s">
        <v>61</v>
      </c>
      <c r="F27" s="112" t="s">
        <v>286</v>
      </c>
      <c r="G27" s="72">
        <v>5</v>
      </c>
      <c r="H27" s="150">
        <v>0.14414351851851853</v>
      </c>
      <c r="I27" s="55">
        <f>VLOOKUP(C27,'Points Table'!A$3:L$43,IF(A27="A Grade / Juniors",4,IF(A27="B Grade",6,IF(A27="C Grade",8,IF(A27="D Grade",10,12)))))</f>
        <v>252</v>
      </c>
      <c r="T27" s="81"/>
      <c r="U27" s="81"/>
      <c r="V27" s="81"/>
      <c r="W27" s="81"/>
      <c r="X27" s="81"/>
      <c r="Y27" s="81"/>
      <c r="Z27" s="81"/>
      <c r="AA27" s="82"/>
      <c r="AB27" s="81"/>
    </row>
    <row r="28" spans="1:30" ht="17" customHeight="1" x14ac:dyDescent="0.2">
      <c r="A28" s="65" t="s">
        <v>59</v>
      </c>
      <c r="B28" s="65" t="s">
        <v>38</v>
      </c>
      <c r="C28" s="62">
        <v>1</v>
      </c>
      <c r="D28" s="66" t="s">
        <v>60</v>
      </c>
      <c r="E28" s="62" t="s">
        <v>61</v>
      </c>
      <c r="F28" s="112" t="s">
        <v>167</v>
      </c>
      <c r="G28" s="72">
        <v>6</v>
      </c>
      <c r="H28" s="150">
        <v>0.14196759259259259</v>
      </c>
      <c r="I28" s="55">
        <f>VLOOKUP(C28,'Points Table'!A$3:L$43,IF(A28="A Grade / Juniors",4,IF(A28="B Grade",6,IF(A28="C Grade",8,IF(A28="D Grade",10,12)))))</f>
        <v>500</v>
      </c>
      <c r="V28" s="81"/>
      <c r="W28" s="81"/>
      <c r="X28" s="81"/>
      <c r="Y28" s="81"/>
      <c r="Z28" s="95"/>
      <c r="AA28" s="81"/>
      <c r="AB28" s="82"/>
      <c r="AC28" s="81"/>
    </row>
    <row r="29" spans="1:30" ht="17" customHeight="1" x14ac:dyDescent="0.2">
      <c r="A29" s="65" t="s">
        <v>59</v>
      </c>
      <c r="B29" s="65" t="s">
        <v>38</v>
      </c>
      <c r="C29" s="62">
        <v>2</v>
      </c>
      <c r="D29" s="66" t="s">
        <v>62</v>
      </c>
      <c r="E29" s="62" t="s">
        <v>61</v>
      </c>
      <c r="F29" s="112" t="s">
        <v>169</v>
      </c>
      <c r="G29" s="72">
        <v>6</v>
      </c>
      <c r="H29" s="150">
        <v>0.14332175925925925</v>
      </c>
      <c r="I29" s="55">
        <f>VLOOKUP(C29,'Points Table'!A$3:L$43,IF(A29="A Grade / Juniors",4,IF(A29="B Grade",6,IF(A29="C Grade",8,IF(A29="D Grade",10,12)))))</f>
        <v>450</v>
      </c>
      <c r="T29" s="81"/>
      <c r="U29" s="81"/>
      <c r="V29" s="81"/>
      <c r="W29" s="81"/>
      <c r="X29" s="81"/>
      <c r="Y29" s="81"/>
      <c r="Z29" s="95"/>
      <c r="AA29" s="81"/>
      <c r="AB29" s="82"/>
      <c r="AC29" s="81"/>
    </row>
    <row r="30" spans="1:30" ht="17" customHeight="1" x14ac:dyDescent="0.2">
      <c r="A30" s="65" t="s">
        <v>59</v>
      </c>
      <c r="B30" s="65" t="s">
        <v>38</v>
      </c>
      <c r="C30" s="62">
        <v>3</v>
      </c>
      <c r="D30" s="66" t="s">
        <v>63</v>
      </c>
      <c r="E30" s="62" t="s">
        <v>61</v>
      </c>
      <c r="F30" s="112" t="s">
        <v>299</v>
      </c>
      <c r="G30" s="72">
        <v>5</v>
      </c>
      <c r="H30" s="150">
        <v>0.15685185185185185</v>
      </c>
      <c r="I30" s="55">
        <f>VLOOKUP(C30,'Points Table'!A$3:L$43,IF(A30="A Grade / Juniors",4,IF(A30="B Grade",6,IF(A30="C Grade",8,IF(A30="D Grade",10,12)))))</f>
        <v>420</v>
      </c>
      <c r="S30" s="81"/>
      <c r="T30" s="81"/>
      <c r="U30" s="81"/>
      <c r="V30" s="81"/>
      <c r="W30" s="95"/>
      <c r="X30"/>
      <c r="Y30" s="81"/>
      <c r="Z30" s="81"/>
      <c r="AA30" s="81"/>
      <c r="AB30" s="82"/>
      <c r="AC30" s="81"/>
    </row>
    <row r="31" spans="1:30" ht="17" customHeight="1" x14ac:dyDescent="0.2">
      <c r="A31" s="65" t="s">
        <v>41</v>
      </c>
      <c r="B31" s="65" t="s">
        <v>46</v>
      </c>
      <c r="C31" s="62">
        <v>1</v>
      </c>
      <c r="D31" s="66" t="s">
        <v>60</v>
      </c>
      <c r="E31" s="62" t="s">
        <v>61</v>
      </c>
      <c r="F31" s="112" t="s">
        <v>186</v>
      </c>
      <c r="G31" s="72">
        <v>4</v>
      </c>
      <c r="H31" s="150">
        <v>7.694444444444444E-2</v>
      </c>
      <c r="I31" s="55">
        <f>VLOOKUP(C31,'Points Table'!A$3:L$43,IF(A31="A Grade / Juniors",4,IF(A31="B Grade",6,IF(A31="C Grade",8,IF(A31="D Grade",10,12)))))</f>
        <v>500</v>
      </c>
      <c r="Q31" s="81"/>
      <c r="R31" s="81"/>
      <c r="S31" s="81"/>
      <c r="T31" s="81"/>
      <c r="U31" s="81"/>
      <c r="V31" s="81"/>
      <c r="W31" s="95"/>
      <c r="X31" s="81"/>
    </row>
    <row r="32" spans="1:30" ht="17" customHeight="1" x14ac:dyDescent="0.2">
      <c r="A32" s="65" t="s">
        <v>41</v>
      </c>
      <c r="B32" s="65" t="s">
        <v>46</v>
      </c>
      <c r="C32" s="62">
        <v>2</v>
      </c>
      <c r="D32" s="66" t="s">
        <v>62</v>
      </c>
      <c r="E32" s="62" t="s">
        <v>61</v>
      </c>
      <c r="F32" s="112" t="s">
        <v>188</v>
      </c>
      <c r="G32" s="72">
        <v>3</v>
      </c>
      <c r="H32" s="150">
        <v>6.8993055555555557E-2</v>
      </c>
      <c r="I32" s="55">
        <f>VLOOKUP(C32,'Points Table'!A$3:L$43,IF(A32="A Grade / Juniors",4,IF(A32="B Grade",6,IF(A32="C Grade",8,IF(A32="D Grade",10,12)))))</f>
        <v>450</v>
      </c>
      <c r="Q32" s="81"/>
      <c r="R32" s="81"/>
      <c r="S32" s="81"/>
      <c r="V32" s="81"/>
      <c r="W32" s="81"/>
      <c r="X32" s="81"/>
      <c r="Y32" s="81"/>
      <c r="Z32" s="95"/>
      <c r="AA32"/>
    </row>
    <row r="33" spans="1:29" ht="17" customHeight="1" x14ac:dyDescent="0.2">
      <c r="A33" s="65" t="s">
        <v>41</v>
      </c>
      <c r="B33" s="65" t="s">
        <v>46</v>
      </c>
      <c r="C33" s="62">
        <v>3</v>
      </c>
      <c r="D33" s="66" t="s">
        <v>63</v>
      </c>
      <c r="E33" s="62" t="s">
        <v>61</v>
      </c>
      <c r="F33" s="112" t="s">
        <v>256</v>
      </c>
      <c r="G33" s="72">
        <v>2</v>
      </c>
      <c r="H33" s="150">
        <v>5.7939814814814812E-2</v>
      </c>
      <c r="I33" s="55">
        <f>VLOOKUP(C33,'Points Table'!A$3:L$43,IF(A33="A Grade / Juniors",4,IF(A33="B Grade",6,IF(A33="C Grade",8,IF(A33="D Grade",10,12)))))</f>
        <v>420</v>
      </c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95"/>
      <c r="AA33" s="81"/>
    </row>
    <row r="34" spans="1:29" ht="17" customHeight="1" x14ac:dyDescent="0.2">
      <c r="A34" s="65" t="s">
        <v>41</v>
      </c>
      <c r="B34" s="65" t="s">
        <v>47</v>
      </c>
      <c r="C34" s="62">
        <v>1</v>
      </c>
      <c r="D34" s="66" t="s">
        <v>60</v>
      </c>
      <c r="E34" s="62" t="s">
        <v>61</v>
      </c>
      <c r="F34" s="112" t="s">
        <v>177</v>
      </c>
      <c r="G34" s="72">
        <v>3</v>
      </c>
      <c r="H34" s="150">
        <v>6.7222222222222225E-2</v>
      </c>
      <c r="I34" s="55">
        <f>VLOOKUP(C34,'Points Table'!A$3:L$43,IF(A34="A Grade / Juniors",4,IF(A34="B Grade",6,IF(A34="C Grade",8,IF(A34="D Grade",10,12)))))</f>
        <v>500</v>
      </c>
      <c r="J34" s="64"/>
      <c r="S34" s="81"/>
      <c r="T34" s="81"/>
      <c r="U34" s="81"/>
      <c r="V34" s="81"/>
      <c r="W34" s="81"/>
      <c r="X34" s="81"/>
      <c r="Y34" s="81"/>
      <c r="Z34" s="95"/>
      <c r="AA34" s="81"/>
    </row>
    <row r="35" spans="1:29" ht="17" customHeight="1" x14ac:dyDescent="0.2">
      <c r="A35" s="65" t="s">
        <v>41</v>
      </c>
      <c r="B35" s="65" t="s">
        <v>85</v>
      </c>
      <c r="C35" s="62">
        <v>1</v>
      </c>
      <c r="D35" s="66" t="s">
        <v>60</v>
      </c>
      <c r="E35" s="62" t="s">
        <v>61</v>
      </c>
      <c r="F35" s="112" t="s">
        <v>189</v>
      </c>
      <c r="G35" s="72">
        <v>3</v>
      </c>
      <c r="H35" s="150">
        <v>7.8252314814814816E-2</v>
      </c>
      <c r="I35" s="55">
        <f>VLOOKUP(C35,'Points Table'!A$3:L$43,IF(A35="A Grade / Juniors",4,IF(A35="B Grade",6,IF(A35="C Grade",8,IF(A35="D Grade",10,12)))))</f>
        <v>500</v>
      </c>
      <c r="T35" s="81"/>
      <c r="U35" s="81"/>
      <c r="V35" s="81"/>
      <c r="W35" s="81"/>
      <c r="X35" s="81"/>
      <c r="Y35" s="81"/>
      <c r="Z35" s="95"/>
      <c r="AA35"/>
      <c r="AB35" s="83"/>
      <c r="AC35" s="81"/>
    </row>
    <row r="36" spans="1:29" ht="17" customHeight="1" x14ac:dyDescent="0.2">
      <c r="A36" s="65" t="s">
        <v>41</v>
      </c>
      <c r="B36" s="65" t="s">
        <v>85</v>
      </c>
      <c r="C36" s="62">
        <v>2</v>
      </c>
      <c r="D36" s="66" t="s">
        <v>62</v>
      </c>
      <c r="E36" s="62" t="s">
        <v>61</v>
      </c>
      <c r="F36" s="112" t="s">
        <v>289</v>
      </c>
      <c r="G36" s="72">
        <v>1</v>
      </c>
      <c r="H36" s="150">
        <v>4.553240740740741E-2</v>
      </c>
      <c r="I36" s="55">
        <f>VLOOKUP(C36,'Points Table'!A$3:L$43,IF(A36="A Grade / Juniors",4,IF(A36="B Grade",6,IF(A36="C Grade",8,IF(A36="D Grade",10,12)))))</f>
        <v>450</v>
      </c>
      <c r="U36" s="81"/>
      <c r="V36" s="81"/>
      <c r="W36" s="81"/>
      <c r="X36" s="81"/>
      <c r="Y36" s="81"/>
      <c r="Z36" s="81"/>
      <c r="AA36" s="81"/>
      <c r="AB36" s="83"/>
      <c r="AC36" s="81"/>
    </row>
    <row r="37" spans="1:29" ht="17" customHeight="1" x14ac:dyDescent="0.2">
      <c r="A37" s="65" t="s">
        <v>53</v>
      </c>
      <c r="B37" s="65" t="s">
        <v>300</v>
      </c>
      <c r="C37" s="62">
        <v>1</v>
      </c>
      <c r="D37" s="66" t="s">
        <v>60</v>
      </c>
      <c r="E37" s="62" t="s">
        <v>61</v>
      </c>
      <c r="F37" s="112" t="s">
        <v>304</v>
      </c>
      <c r="G37" s="72">
        <v>7</v>
      </c>
      <c r="H37" s="150">
        <v>0.15533564814814815</v>
      </c>
      <c r="I37" s="55">
        <f>VLOOKUP(C37,'Points Table'!A$3:L$43,IF(A37="A Grade / Juniors",4,IF(A37="B Grade",6,IF(A37="C Grade",8,IF(A37="D Grade",10,12)))))</f>
        <v>250</v>
      </c>
      <c r="U37" s="81"/>
      <c r="V37" s="81"/>
      <c r="W37" s="81"/>
      <c r="X37" s="81"/>
      <c r="Y37" s="81"/>
      <c r="Z37" s="81"/>
      <c r="AA37" s="81"/>
      <c r="AB37" s="83"/>
      <c r="AC37"/>
    </row>
    <row r="38" spans="1:29" ht="17" customHeight="1" x14ac:dyDescent="0.2">
      <c r="A38" s="65" t="s">
        <v>53</v>
      </c>
      <c r="B38" s="65" t="s">
        <v>300</v>
      </c>
      <c r="C38" s="62">
        <v>1</v>
      </c>
      <c r="D38" s="66" t="s">
        <v>60</v>
      </c>
      <c r="E38" s="62" t="s">
        <v>61</v>
      </c>
      <c r="F38" s="112" t="s">
        <v>305</v>
      </c>
      <c r="G38" s="72">
        <v>7</v>
      </c>
      <c r="H38" s="150">
        <v>0.15533564814814815</v>
      </c>
      <c r="I38" s="55">
        <f>VLOOKUP(C38,'Points Table'!A$3:L$43,IF(A38="A Grade / Juniors",4,IF(A38="B Grade",6,IF(A38="C Grade",8,IF(A38="D Grade",10,12)))))</f>
        <v>250</v>
      </c>
      <c r="U38" s="81"/>
      <c r="V38" s="81"/>
      <c r="W38" s="81"/>
      <c r="X38" s="81"/>
      <c r="Y38" s="81"/>
      <c r="Z38" s="81"/>
      <c r="AA38" s="81"/>
      <c r="AB38" s="83"/>
      <c r="AC38"/>
    </row>
    <row r="39" spans="1:29" ht="17" customHeight="1" x14ac:dyDescent="0.2">
      <c r="A39" s="65" t="s">
        <v>53</v>
      </c>
      <c r="B39" s="65" t="s">
        <v>300</v>
      </c>
      <c r="C39" s="62">
        <v>2</v>
      </c>
      <c r="D39" s="66" t="s">
        <v>62</v>
      </c>
      <c r="E39" s="62" t="s">
        <v>61</v>
      </c>
      <c r="F39" s="112" t="s">
        <v>306</v>
      </c>
      <c r="G39" s="72">
        <v>6</v>
      </c>
      <c r="H39" s="150">
        <v>0.14253472222222222</v>
      </c>
      <c r="I39" s="55">
        <f>VLOOKUP(C39,'Points Table'!A$3:L$43,IF(A39="A Grade / Juniors",4,IF(A39="B Grade",6,IF(A39="C Grade",8,IF(A39="D Grade",10,12)))))</f>
        <v>225</v>
      </c>
    </row>
    <row r="40" spans="1:29" ht="17" customHeight="1" x14ac:dyDescent="0.2">
      <c r="A40" s="65" t="s">
        <v>53</v>
      </c>
      <c r="B40" s="65" t="s">
        <v>300</v>
      </c>
      <c r="C40" s="62">
        <v>2</v>
      </c>
      <c r="D40" s="66" t="s">
        <v>62</v>
      </c>
      <c r="E40" s="62" t="s">
        <v>61</v>
      </c>
      <c r="F40" s="112" t="s">
        <v>307</v>
      </c>
      <c r="G40" s="72">
        <v>6</v>
      </c>
      <c r="H40" s="150">
        <v>0.14253472222222222</v>
      </c>
      <c r="I40" s="55">
        <f>VLOOKUP(C40,'Points Table'!A$3:L$43,IF(A40="A Grade / Juniors",4,IF(A40="B Grade",6,IF(A40="C Grade",8,IF(A40="D Grade",10,12)))))</f>
        <v>225</v>
      </c>
    </row>
    <row r="41" spans="1:29" ht="17" customHeight="1" x14ac:dyDescent="0.2">
      <c r="A41" s="65" t="s">
        <v>53</v>
      </c>
      <c r="B41" s="65" t="s">
        <v>300</v>
      </c>
      <c r="C41" s="62">
        <v>3</v>
      </c>
      <c r="D41" s="66" t="s">
        <v>63</v>
      </c>
      <c r="E41" s="62" t="s">
        <v>61</v>
      </c>
      <c r="F41" s="112" t="s">
        <v>238</v>
      </c>
      <c r="G41" s="72">
        <v>6</v>
      </c>
      <c r="H41" s="150">
        <v>0.16562499999999999</v>
      </c>
      <c r="I41" s="55">
        <f>VLOOKUP(C41,'Points Table'!A$3:L$43,IF(A41="A Grade / Juniors",4,IF(A41="B Grade",6,IF(A41="C Grade",8,IF(A41="D Grade",10,12)))))</f>
        <v>210</v>
      </c>
    </row>
    <row r="42" spans="1:29" ht="17" customHeight="1" x14ac:dyDescent="0.2">
      <c r="A42" s="65" t="s">
        <v>53</v>
      </c>
      <c r="B42" s="65" t="s">
        <v>300</v>
      </c>
      <c r="C42" s="62">
        <v>3</v>
      </c>
      <c r="D42" s="66" t="s">
        <v>63</v>
      </c>
      <c r="E42" s="62" t="s">
        <v>61</v>
      </c>
      <c r="F42" s="112" t="s">
        <v>165</v>
      </c>
      <c r="G42" s="72">
        <v>6</v>
      </c>
      <c r="H42" s="150">
        <v>0.16562499999999999</v>
      </c>
      <c r="I42" s="55">
        <f>VLOOKUP(C42,'Points Table'!A$3:L$43,IF(A42="A Grade / Juniors",4,IF(A42="B Grade",6,IF(A42="C Grade",8,IF(A42="D Grade",10,12)))))</f>
        <v>210</v>
      </c>
    </row>
    <row r="43" spans="1:29" ht="17" customHeight="1" x14ac:dyDescent="0.2">
      <c r="A43" s="65" t="s">
        <v>53</v>
      </c>
      <c r="B43" s="65" t="s">
        <v>300</v>
      </c>
      <c r="C43" s="62">
        <v>4</v>
      </c>
      <c r="D43" s="66" t="s">
        <v>64</v>
      </c>
      <c r="E43" s="62" t="s">
        <v>61</v>
      </c>
      <c r="F43" s="112" t="s">
        <v>311</v>
      </c>
      <c r="G43" s="72">
        <v>1</v>
      </c>
      <c r="H43" s="150">
        <v>2.6168981481481481E-2</v>
      </c>
      <c r="I43" s="55">
        <f>VLOOKUP(C43,'Points Table'!A$3:L$43,IF(A43="A Grade / Juniors",4,IF(A43="B Grade",6,IF(A43="C Grade",8,IF(A43="D Grade",10,12)))))</f>
        <v>200</v>
      </c>
    </row>
    <row r="44" spans="1:29" ht="17" customHeight="1" x14ac:dyDescent="0.2">
      <c r="A44" s="65" t="s">
        <v>53</v>
      </c>
      <c r="B44" s="65" t="s">
        <v>300</v>
      </c>
      <c r="C44" s="62">
        <v>4</v>
      </c>
      <c r="D44" s="66" t="s">
        <v>64</v>
      </c>
      <c r="E44" s="62" t="s">
        <v>61</v>
      </c>
      <c r="F44" s="112" t="s">
        <v>312</v>
      </c>
      <c r="G44" s="72">
        <v>1</v>
      </c>
      <c r="H44" s="150">
        <v>2.6168981481481481E-2</v>
      </c>
      <c r="I44" s="55">
        <f>VLOOKUP(C44,'Points Table'!A$3:L$43,IF(A44="A Grade / Juniors",4,IF(A44="B Grade",6,IF(A44="C Grade",8,IF(A44="D Grade",10,12)))))</f>
        <v>200</v>
      </c>
    </row>
    <row r="45" spans="1:29" ht="17" x14ac:dyDescent="0.2">
      <c r="A45" s="65" t="s">
        <v>53</v>
      </c>
      <c r="B45" s="65" t="s">
        <v>303</v>
      </c>
      <c r="C45" s="62">
        <v>1</v>
      </c>
      <c r="D45" s="66" t="s">
        <v>60</v>
      </c>
      <c r="E45" s="62" t="s">
        <v>61</v>
      </c>
      <c r="F45" s="112" t="s">
        <v>185</v>
      </c>
      <c r="G45" s="72">
        <v>5</v>
      </c>
      <c r="H45" s="150">
        <v>0.14803240740740742</v>
      </c>
      <c r="I45" s="55">
        <f>VLOOKUP(C45,'Points Table'!A$3:L$43,IF(A45="A Grade / Juniors",4,IF(A45="B Grade",6,IF(A45="C Grade",8,IF(A45="D Grade",10,12)))))</f>
        <v>250</v>
      </c>
    </row>
    <row r="46" spans="1:29" ht="17" x14ac:dyDescent="0.2">
      <c r="A46" s="65" t="s">
        <v>53</v>
      </c>
      <c r="B46" s="65" t="s">
        <v>303</v>
      </c>
      <c r="C46" s="62">
        <v>1</v>
      </c>
      <c r="D46" s="66" t="s">
        <v>60</v>
      </c>
      <c r="E46" s="62" t="s">
        <v>61</v>
      </c>
      <c r="F46" s="112" t="s">
        <v>168</v>
      </c>
      <c r="G46" s="72">
        <v>5</v>
      </c>
      <c r="H46" s="150">
        <v>0.14803240740740742</v>
      </c>
      <c r="I46" s="55">
        <f>VLOOKUP(C46,'Points Table'!A$3:L$43,IF(A46="A Grade / Juniors",4,IF(A46="B Grade",6,IF(A46="C Grade",8,IF(A46="D Grade",10,12)))))</f>
        <v>250</v>
      </c>
    </row>
    <row r="47" spans="1:29" ht="19" x14ac:dyDescent="0.2">
      <c r="A47" s="65" t="s">
        <v>53</v>
      </c>
      <c r="B47" s="65" t="s">
        <v>303</v>
      </c>
      <c r="C47" s="62">
        <v>2</v>
      </c>
      <c r="D47" s="66" t="s">
        <v>62</v>
      </c>
      <c r="E47" s="62" t="s">
        <v>61</v>
      </c>
      <c r="F47" s="112" t="s">
        <v>212</v>
      </c>
      <c r="G47" s="72">
        <v>5</v>
      </c>
      <c r="H47" s="150">
        <v>0.16452546296296297</v>
      </c>
      <c r="I47" s="55">
        <f>VLOOKUP(C47,'Points Table'!A$3:L$43,IF(A47="A Grade / Juniors",4,IF(A47="B Grade",6,IF(A47="C Grade",8,IF(A47="D Grade",10,12)))))</f>
        <v>225</v>
      </c>
      <c r="T47" s="81"/>
      <c r="U47" s="81"/>
      <c r="V47" s="81"/>
      <c r="W47" s="81"/>
      <c r="X47" s="95"/>
    </row>
    <row r="48" spans="1:29" ht="19" x14ac:dyDescent="0.2">
      <c r="A48" s="65" t="s">
        <v>53</v>
      </c>
      <c r="B48" s="65" t="s">
        <v>303</v>
      </c>
      <c r="C48" s="62">
        <v>2</v>
      </c>
      <c r="D48" s="66" t="s">
        <v>62</v>
      </c>
      <c r="E48" s="62" t="s">
        <v>61</v>
      </c>
      <c r="F48" s="112" t="s">
        <v>308</v>
      </c>
      <c r="G48" s="72">
        <v>5</v>
      </c>
      <c r="H48" s="150">
        <v>0.16452546296296297</v>
      </c>
      <c r="I48" s="55">
        <f>VLOOKUP(C48,'Points Table'!A$3:L$43,IF(A48="A Grade / Juniors",4,IF(A48="B Grade",6,IF(A48="C Grade",8,IF(A48="D Grade",10,12)))))</f>
        <v>225</v>
      </c>
      <c r="R48" s="81"/>
      <c r="S48" s="81"/>
      <c r="T48" s="81"/>
      <c r="U48" s="81"/>
      <c r="V48" s="81"/>
      <c r="W48" s="81"/>
      <c r="X48" s="95"/>
    </row>
    <row r="49" spans="1:23" ht="17" x14ac:dyDescent="0.2">
      <c r="A49" s="65" t="s">
        <v>53</v>
      </c>
      <c r="B49" s="65" t="s">
        <v>309</v>
      </c>
      <c r="C49" s="62">
        <v>1</v>
      </c>
      <c r="D49" s="66" t="s">
        <v>60</v>
      </c>
      <c r="E49" s="62" t="s">
        <v>61</v>
      </c>
      <c r="F49" s="112" t="s">
        <v>170</v>
      </c>
      <c r="G49" s="72">
        <v>7</v>
      </c>
      <c r="H49" s="150">
        <v>0.15912037037037038</v>
      </c>
      <c r="I49" s="55">
        <f>VLOOKUP(C49,'Points Table'!A$3:L$43,IF(A49="A Grade / Juniors",4,IF(A49="B Grade",6,IF(A49="C Grade",8,IF(A49="D Grade",10,12)))))</f>
        <v>250</v>
      </c>
    </row>
    <row r="50" spans="1:23" ht="17" x14ac:dyDescent="0.2">
      <c r="A50" s="65" t="s">
        <v>53</v>
      </c>
      <c r="B50" s="65" t="s">
        <v>310</v>
      </c>
      <c r="C50" s="62">
        <v>1</v>
      </c>
      <c r="D50" s="66" t="s">
        <v>60</v>
      </c>
      <c r="E50" s="62" t="s">
        <v>61</v>
      </c>
      <c r="F50" s="112" t="s">
        <v>158</v>
      </c>
      <c r="G50" s="72">
        <v>7</v>
      </c>
      <c r="H50" s="150">
        <v>0.15912037037037038</v>
      </c>
      <c r="I50" s="55">
        <f>VLOOKUP(C50,'Points Table'!A$3:L$43,IF(A50="A Grade / Juniors",4,IF(A50="B Grade",6,IF(A50="C Grade",8,IF(A50="D Grade",10,12)))))</f>
        <v>250</v>
      </c>
    </row>
    <row r="51" spans="1:23" ht="17" x14ac:dyDescent="0.2">
      <c r="A51" s="65" t="s">
        <v>53</v>
      </c>
      <c r="B51" s="65" t="s">
        <v>309</v>
      </c>
      <c r="C51" s="62">
        <v>2</v>
      </c>
      <c r="D51" s="66" t="s">
        <v>62</v>
      </c>
      <c r="E51" s="62" t="s">
        <v>61</v>
      </c>
      <c r="F51" s="112" t="s">
        <v>196</v>
      </c>
      <c r="G51" s="72">
        <v>5</v>
      </c>
      <c r="H51" s="150">
        <v>0.14109953703703704</v>
      </c>
      <c r="I51" s="55">
        <f>VLOOKUP(C51,'Points Table'!A$3:L$43,IF(A51="A Grade / Juniors",4,IF(A51="B Grade",6,IF(A51="C Grade",8,IF(A51="D Grade",10,12)))))</f>
        <v>225</v>
      </c>
    </row>
    <row r="52" spans="1:23" ht="17" x14ac:dyDescent="0.2">
      <c r="A52" s="65" t="s">
        <v>53</v>
      </c>
      <c r="B52" s="65" t="s">
        <v>310</v>
      </c>
      <c r="C52" s="62">
        <v>2</v>
      </c>
      <c r="D52" s="66" t="s">
        <v>62</v>
      </c>
      <c r="E52" s="62" t="s">
        <v>61</v>
      </c>
      <c r="F52" s="112" t="s">
        <v>239</v>
      </c>
      <c r="G52" s="72">
        <v>5</v>
      </c>
      <c r="H52" s="150">
        <v>0.14109953703703704</v>
      </c>
      <c r="I52" s="55">
        <f>VLOOKUP(C52,'Points Table'!A$3:L$43,IF(A52="A Grade / Juniors",4,IF(A52="B Grade",6,IF(A52="C Grade",8,IF(A52="D Grade",10,12)))))</f>
        <v>225</v>
      </c>
    </row>
    <row r="53" spans="1:23" ht="17" x14ac:dyDescent="0.2">
      <c r="A53" s="65" t="s">
        <v>53</v>
      </c>
      <c r="B53" s="65" t="s">
        <v>317</v>
      </c>
      <c r="C53" s="62">
        <v>1</v>
      </c>
      <c r="D53" s="66" t="s">
        <v>60</v>
      </c>
      <c r="E53" s="62" t="s">
        <v>61</v>
      </c>
      <c r="F53" s="112" t="s">
        <v>321</v>
      </c>
      <c r="G53" s="72">
        <v>5</v>
      </c>
      <c r="H53" s="150">
        <v>9.329861111111111E-2</v>
      </c>
      <c r="I53" s="55">
        <f>VLOOKUP(C53,'Points Table'!A$3:L$43,IF(A53="A Grade / Juniors",4,IF(A53="B Grade",6,IF(A53="C Grade",8,IF(A53="D Grade",10,12)))))</f>
        <v>250</v>
      </c>
    </row>
    <row r="54" spans="1:23" ht="19" x14ac:dyDescent="0.2">
      <c r="A54" s="65" t="s">
        <v>53</v>
      </c>
      <c r="B54" s="65" t="s">
        <v>317</v>
      </c>
      <c r="C54" s="62">
        <v>1</v>
      </c>
      <c r="D54" s="66" t="s">
        <v>60</v>
      </c>
      <c r="E54" s="62" t="s">
        <v>61</v>
      </c>
      <c r="F54" s="112" t="s">
        <v>322</v>
      </c>
      <c r="G54" s="72">
        <v>3</v>
      </c>
      <c r="H54" s="150">
        <v>6.0960648148148146E-2</v>
      </c>
      <c r="I54" s="55">
        <f>VLOOKUP(C54,'Points Table'!A$3:L$43,IF(A54="A Grade / Juniors",4,IF(A54="B Grade",6,IF(A54="C Grade",8,IF(A54="D Grade",10,12)))))</f>
        <v>250</v>
      </c>
      <c r="O54" s="81"/>
      <c r="Q54" s="81"/>
      <c r="R54" s="81"/>
      <c r="S54" s="81"/>
      <c r="T54" s="81"/>
      <c r="U54" s="81"/>
      <c r="V54" s="83"/>
      <c r="W54"/>
    </row>
    <row r="55" spans="1:23" ht="19" x14ac:dyDescent="0.2">
      <c r="A55" s="65" t="s">
        <v>53</v>
      </c>
      <c r="B55" s="65" t="s">
        <v>317</v>
      </c>
      <c r="C55" s="62">
        <v>1</v>
      </c>
      <c r="D55" s="66" t="s">
        <v>60</v>
      </c>
      <c r="E55" s="62" t="s">
        <v>61</v>
      </c>
      <c r="F55" s="112" t="s">
        <v>197</v>
      </c>
      <c r="G55" s="72">
        <v>5</v>
      </c>
      <c r="H55" s="150">
        <v>4.9965277777777775E-2</v>
      </c>
      <c r="I55" s="55">
        <f>VLOOKUP(C55,'Points Table'!A$3:L$43,IF(A55="A Grade / Juniors",4,IF(A55="B Grade",6,IF(A55="C Grade",8,IF(A55="D Grade",10,12)))))</f>
        <v>250</v>
      </c>
      <c r="O55" s="81"/>
      <c r="P55" s="81"/>
      <c r="Q55" s="81"/>
      <c r="R55" s="83"/>
      <c r="S55" s="81"/>
      <c r="T55" s="81"/>
      <c r="U55" s="81"/>
      <c r="V55" s="83"/>
      <c r="W55" s="81"/>
    </row>
    <row r="56" spans="1:23" ht="19" x14ac:dyDescent="0.2">
      <c r="A56" s="65" t="s">
        <v>53</v>
      </c>
      <c r="B56" s="65" t="s">
        <v>317</v>
      </c>
      <c r="C56" s="62">
        <v>1</v>
      </c>
      <c r="D56" s="66" t="s">
        <v>60</v>
      </c>
      <c r="E56" s="62" t="s">
        <v>61</v>
      </c>
      <c r="F56" s="112" t="s">
        <v>190</v>
      </c>
      <c r="G56" s="72">
        <v>3</v>
      </c>
      <c r="H56" s="150">
        <v>2.7893518518518519E-2</v>
      </c>
      <c r="I56" s="55">
        <f>VLOOKUP(C56,'Points Table'!A$3:L$43,IF(A56="A Grade / Juniors",4,IF(A56="B Grade",6,IF(A56="C Grade",8,IF(A56="D Grade",10,12)))))</f>
        <v>250</v>
      </c>
      <c r="Q56" s="81"/>
      <c r="R56" s="81"/>
      <c r="S56" s="81"/>
      <c r="T56" s="81"/>
      <c r="U56" s="81"/>
      <c r="V56" s="83"/>
      <c r="W56"/>
    </row>
    <row r="57" spans="1:23" ht="19" x14ac:dyDescent="0.2">
      <c r="A57" s="65" t="s">
        <v>53</v>
      </c>
      <c r="B57" s="65" t="s">
        <v>317</v>
      </c>
      <c r="C57" s="62">
        <v>2</v>
      </c>
      <c r="D57" s="66" t="s">
        <v>62</v>
      </c>
      <c r="E57" s="62" t="s">
        <v>61</v>
      </c>
      <c r="F57" s="112" t="s">
        <v>319</v>
      </c>
      <c r="G57" s="72">
        <v>4</v>
      </c>
      <c r="H57" s="150">
        <v>4.2916666666666665E-2</v>
      </c>
      <c r="I57" s="55">
        <f>VLOOKUP(C57,'Points Table'!A$3:L$43,IF(A57="A Grade / Juniors",4,IF(A57="B Grade",6,IF(A57="C Grade",8,IF(A57="D Grade",10,12)))))</f>
        <v>225</v>
      </c>
      <c r="O57" s="81"/>
      <c r="P57" s="81"/>
      <c r="Q57" s="81"/>
      <c r="R57" s="81"/>
      <c r="S57" s="81"/>
      <c r="T57" s="81"/>
      <c r="U57" s="81"/>
      <c r="V57" s="83"/>
    </row>
    <row r="58" spans="1:23" ht="17" x14ac:dyDescent="0.2">
      <c r="A58" s="65" t="s">
        <v>53</v>
      </c>
      <c r="B58" s="65" t="s">
        <v>317</v>
      </c>
      <c r="C58" s="62">
        <v>2</v>
      </c>
      <c r="D58" s="66" t="s">
        <v>62</v>
      </c>
      <c r="E58" s="62" t="s">
        <v>61</v>
      </c>
      <c r="F58" s="112" t="s">
        <v>320</v>
      </c>
      <c r="G58" s="72">
        <v>2</v>
      </c>
      <c r="H58" s="150">
        <v>2.7083333333333334E-2</v>
      </c>
      <c r="I58" s="55">
        <f>VLOOKUP(C58,'Points Table'!A$3:L$43,IF(A58="A Grade / Juniors",4,IF(A58="B Grade",6,IF(A58="C Grade",8,IF(A58="D Grade",10,12)))))</f>
        <v>225</v>
      </c>
    </row>
    <row r="59" spans="1:23" ht="17" x14ac:dyDescent="0.2">
      <c r="A59" s="65" t="s">
        <v>53</v>
      </c>
      <c r="B59" s="65" t="s">
        <v>324</v>
      </c>
      <c r="C59" s="62">
        <v>3</v>
      </c>
      <c r="D59" s="66" t="s">
        <v>63</v>
      </c>
      <c r="E59" s="62" t="s">
        <v>61</v>
      </c>
      <c r="F59" s="112" t="s">
        <v>323</v>
      </c>
      <c r="G59" s="72">
        <v>2</v>
      </c>
      <c r="H59" s="150">
        <v>4.6087962962962963E-2</v>
      </c>
      <c r="I59" s="55">
        <f>VLOOKUP(C59,'Points Table'!A$3:L$43,IF(A59="A Grade / Juniors",4,IF(A59="B Grade",6,IF(A59="C Grade",8,IF(A59="D Grade",10,12)))))</f>
        <v>210</v>
      </c>
    </row>
  </sheetData>
  <phoneticPr fontId="1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Kinchina</vt:lpstr>
      <vt:lpstr>RD7 O'Hallaron</vt:lpstr>
      <vt:lpstr>RD8 Fox Creek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2026-05-27T02:28:33Z</dcterms:modified>
</cp:coreProperties>
</file>